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140" windowHeight="6000" activeTab="0"/>
  </bookViews>
  <sheets>
    <sheet name="Hoja1" sheetId="1" r:id="rId1"/>
    <sheet name="Hoja2" sheetId="2" r:id="rId2"/>
    <sheet name="ART.25 DN 786-02 ENE-12" sheetId="3" r:id="rId3"/>
    <sheet name="ART.25 DN 786-02- FEB-12" sheetId="4" r:id="rId4"/>
    <sheet name="ART.25 DN 786-02 MAR-12" sheetId="5" r:id="rId5"/>
    <sheet name="ART.25 DN 786-02 ABR-12" sheetId="6" r:id="rId6"/>
    <sheet name="ART. 25 DN 786-02 MAY-12" sheetId="7" r:id="rId7"/>
    <sheet name="ART.25 DN 786-02 JUN-12" sheetId="8" r:id="rId8"/>
    <sheet name="ART.25 DN 786-02 JUL-12" sheetId="9" r:id="rId9"/>
    <sheet name="ART.25 DN 786-02 AGO-12" sheetId="10" r:id="rId10"/>
    <sheet name="ART.25 DN 786-02 SEP-12" sheetId="11" r:id="rId11"/>
    <sheet name="ART.25 DN 786-02 OCT-12" sheetId="12" r:id="rId12"/>
    <sheet name="ART.25 DN 786-02 NOV-12" sheetId="13" r:id="rId13"/>
    <sheet name="ART. 25 DN 786-02 DIC-12" sheetId="14" r:id="rId14"/>
    <sheet name="Hoja4" sheetId="15" r:id="rId15"/>
  </sheets>
  <definedNames>
    <definedName name="_xlnm.Print_Area" localSheetId="13">'ART. 25 DN 786-02 DIC-12'!$A$1:$L$65</definedName>
    <definedName name="_xlnm.Print_Area" localSheetId="6">'ART. 25 DN 786-02 MAY-12'!$A$1:$L$65</definedName>
    <definedName name="_xlnm.Print_Area" localSheetId="5">'ART.25 DN 786-02 ABR-12'!$A$1:$L$67</definedName>
    <definedName name="_xlnm.Print_Area" localSheetId="9">'ART.25 DN 786-02 AGO-12'!$A$1:$L$65</definedName>
    <definedName name="_xlnm.Print_Area" localSheetId="2">'ART.25 DN 786-02 ENE-12'!$A$1:$L$65</definedName>
    <definedName name="_xlnm.Print_Area" localSheetId="3">'ART.25 DN 786-02- FEB-12'!$A$1:$L$65</definedName>
    <definedName name="_xlnm.Print_Area" localSheetId="8">'ART.25 DN 786-02 JUL-12'!$A$1:$L$65</definedName>
    <definedName name="_xlnm.Print_Area" localSheetId="7">'ART.25 DN 786-02 JUN-12'!$A$1:$L$65</definedName>
    <definedName name="_xlnm.Print_Area" localSheetId="4">'ART.25 DN 786-02 MAR-12'!$A$1:$L$65</definedName>
    <definedName name="_xlnm.Print_Area" localSheetId="12">'ART.25 DN 786-02 NOV-12'!$A$1:$K$65</definedName>
    <definedName name="_xlnm.Print_Area" localSheetId="11">'ART.25 DN 786-02 OCT-12'!$A$1:$L$65</definedName>
    <definedName name="_xlnm.Print_Area" localSheetId="10">'ART.25 DN 786-02 SEP-12'!$A$1:$L$65</definedName>
    <definedName name="_xlnm.Print_Area" localSheetId="14">'Hoja4'!$G$3:$J$20</definedName>
  </definedNames>
  <calcPr fullCalcOnLoad="1"/>
</workbook>
</file>

<file path=xl/sharedStrings.xml><?xml version="1.0" encoding="utf-8"?>
<sst xmlns="http://schemas.openxmlformats.org/spreadsheetml/2006/main" count="1844" uniqueCount="372">
  <si>
    <t>%</t>
  </si>
  <si>
    <t xml:space="preserve">                 SARTINI</t>
  </si>
  <si>
    <t xml:space="preserve">                          GAS AUSTRAL</t>
  </si>
  <si>
    <t xml:space="preserve">                            TOTAL T. DEL FUEGO</t>
  </si>
  <si>
    <t>Precios finales 2011 (*)</t>
  </si>
  <si>
    <t>Meses</t>
  </si>
  <si>
    <t xml:space="preserve">Kg. </t>
  </si>
  <si>
    <t>$</t>
  </si>
  <si>
    <t>SARTINI</t>
  </si>
  <si>
    <t>G. AUSTRAL</t>
  </si>
  <si>
    <t>PPP Total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</si>
  <si>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</si>
  <si>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</si>
  <si>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</si>
  <si>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</si>
  <si>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</si>
  <si>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</si>
  <si>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</si>
  <si>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</si>
  <si>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</si>
  <si>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</si>
  <si>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</si>
  <si>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</si>
  <si>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Totales</t>
  </si>
  <si>
    <t>Año Base</t>
  </si>
  <si>
    <t>Promedio</t>
  </si>
  <si>
    <t>Trimestral</t>
  </si>
  <si>
    <t>Total</t>
  </si>
  <si>
    <t>BASE DE DATOS PARA EJERCICIO 2012</t>
  </si>
  <si>
    <t>Nuevo PPP</t>
  </si>
  <si>
    <t>PPP ant</t>
  </si>
  <si>
    <t>Coef. Var.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</si>
  <si>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</si>
  <si>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</si>
  <si>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</si>
  <si>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</si>
  <si>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</si>
  <si>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</si>
  <si>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</si>
  <si>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</si>
  <si>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</si>
  <si>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</si>
  <si>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</si>
  <si>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</si>
  <si>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Garrafa</t>
  </si>
  <si>
    <t>Cilindo</t>
  </si>
  <si>
    <t>Granel</t>
  </si>
  <si>
    <t>Tot Kg</t>
  </si>
  <si>
    <t>Período</t>
  </si>
  <si>
    <t>Imp. solicitado</t>
  </si>
  <si>
    <t>Imp. recon.</t>
  </si>
  <si>
    <t>Descuento</t>
  </si>
  <si>
    <t>Nota S.E.</t>
  </si>
  <si>
    <t>Fecha Nota</t>
  </si>
  <si>
    <t>2311/12</t>
  </si>
  <si>
    <t>19/04/2012</t>
  </si>
  <si>
    <t>2882/12</t>
  </si>
  <si>
    <t>08/05/2012</t>
  </si>
  <si>
    <t xml:space="preserve">Marzo </t>
  </si>
  <si>
    <t>3478/12</t>
  </si>
  <si>
    <t xml:space="preserve">Abril </t>
  </si>
  <si>
    <t>3596/12</t>
  </si>
  <si>
    <t>4507/12</t>
  </si>
  <si>
    <t>4884/12</t>
  </si>
  <si>
    <t>2316/12</t>
  </si>
  <si>
    <t>2880/12</t>
  </si>
  <si>
    <t>3626/12</t>
  </si>
  <si>
    <t>3627/12</t>
  </si>
  <si>
    <t>4852/12</t>
  </si>
  <si>
    <t>4854/12</t>
  </si>
  <si>
    <t>2472-EC/12</t>
  </si>
  <si>
    <t>5223-EC/12</t>
  </si>
  <si>
    <t>13418-EC/12</t>
  </si>
  <si>
    <t>13420-EC/12</t>
  </si>
  <si>
    <t>13400-EC/12</t>
  </si>
  <si>
    <t>13399-EC/12</t>
  </si>
  <si>
    <t>2476-EC/12</t>
  </si>
  <si>
    <t>5217-EC/12</t>
  </si>
  <si>
    <t xml:space="preserve">Junio </t>
  </si>
  <si>
    <t>5852/12</t>
  </si>
  <si>
    <t>6523/12</t>
  </si>
  <si>
    <t>Nº Expte Prov.</t>
  </si>
  <si>
    <t>Kg. Garrafas</t>
  </si>
  <si>
    <t>Kg. Cilindros</t>
  </si>
  <si>
    <t>Kg. Granel</t>
  </si>
  <si>
    <t>Año 2012</t>
  </si>
  <si>
    <t>Mes/Año</t>
  </si>
  <si>
    <t>(3)=(1) x (2)</t>
  </si>
  <si>
    <t>(5)=(4)-(3)/(3)</t>
  </si>
  <si>
    <t>7=4-6</t>
  </si>
  <si>
    <t>Subsidio $ mes base 2011 (promedio del trimestre)</t>
  </si>
  <si>
    <t xml:space="preserve">Coeficiente de variación de precio del producto final </t>
  </si>
  <si>
    <t>Subsidio mes base ajustado por variación precio final ($)</t>
  </si>
  <si>
    <t xml:space="preserve">Monto subsidio solicitado ($) </t>
  </si>
  <si>
    <t>Variación subsidio solicitado/ subsidio mes base ajustado</t>
  </si>
  <si>
    <t>SUBSIDIO MAXIMO A PAGAR</t>
  </si>
  <si>
    <t>Descuento en la compens. (Pago de Provincia)</t>
  </si>
  <si>
    <t>GAS AUSTRAL</t>
  </si>
  <si>
    <t>Comp. Nacional</t>
  </si>
  <si>
    <t>Com. Pcial.</t>
  </si>
  <si>
    <t>Pr. Usuario</t>
  </si>
  <si>
    <t>Descuentos Comp. Nac.</t>
  </si>
  <si>
    <t>Garrafas hasta 15 Kg.</t>
  </si>
  <si>
    <t>Cilindros hasta 45 kg.</t>
  </si>
  <si>
    <t xml:space="preserve">Precios </t>
  </si>
  <si>
    <t>Comp. Nac.</t>
  </si>
  <si>
    <t>Comp. Prov.</t>
  </si>
  <si>
    <t>Usuario</t>
  </si>
  <si>
    <t>Cilindro</t>
  </si>
  <si>
    <t>Precio Final</t>
  </si>
  <si>
    <t>Total Comp. Nac.</t>
  </si>
  <si>
    <t>Total Comp. Prov.</t>
  </si>
  <si>
    <t>Total Usuario</t>
  </si>
  <si>
    <t>Acta Acuerdo 2012</t>
  </si>
  <si>
    <t>Acta Acuerdo 2011</t>
  </si>
  <si>
    <t>Retroactivo</t>
  </si>
  <si>
    <t>Retroctivo</t>
  </si>
  <si>
    <t>Kg</t>
  </si>
  <si>
    <t>$ Nación</t>
  </si>
  <si>
    <t>$ Provincia</t>
  </si>
  <si>
    <t>$ Usuario</t>
  </si>
  <si>
    <t>$ Retr. Prov.</t>
  </si>
  <si>
    <t>$ Retr. Nac.</t>
  </si>
  <si>
    <t>$Nación</t>
  </si>
  <si>
    <t>$ Retr. Prov</t>
  </si>
  <si>
    <t>$ Retr. Nac</t>
  </si>
  <si>
    <t>Total Comp. Nac</t>
  </si>
  <si>
    <t>$ Retroac.</t>
  </si>
  <si>
    <t>Total Comp.  Prov.</t>
  </si>
  <si>
    <t>Retr. Sartini</t>
  </si>
  <si>
    <t>Retr. Gas A.</t>
  </si>
  <si>
    <t>TOTAL PROVINCIA</t>
  </si>
  <si>
    <t>TOTAL</t>
  </si>
  <si>
    <t>Importe pagado por Nación</t>
  </si>
  <si>
    <t>Diferencia entre Máximo a pagar por Nación y lo pagado</t>
  </si>
  <si>
    <t>VARIACION DE CONSUMO 2011/2012</t>
  </si>
  <si>
    <t xml:space="preserve">SARTINI </t>
  </si>
  <si>
    <t>PPP</t>
  </si>
  <si>
    <t>Variacion</t>
  </si>
  <si>
    <t>Nación</t>
  </si>
  <si>
    <t>Provincia</t>
  </si>
  <si>
    <t>Total Comp. Prov. + Retroac.</t>
  </si>
  <si>
    <t>Total Comp. Prov. + Descuento Nac.</t>
  </si>
  <si>
    <t>Dif.</t>
  </si>
  <si>
    <t xml:space="preserve">Enero </t>
  </si>
  <si>
    <t xml:space="preserve">Personas Atendidas </t>
  </si>
  <si>
    <t>Kg. Garrafa 10</t>
  </si>
  <si>
    <t>Kg. Garrafa 15</t>
  </si>
  <si>
    <t>Kg. Cilindro</t>
  </si>
  <si>
    <t>USHUAIA</t>
  </si>
  <si>
    <t>RIO GRANDE</t>
  </si>
  <si>
    <t>TOLHUIN</t>
  </si>
  <si>
    <t>Kg. Garrafa 30</t>
  </si>
  <si>
    <t>PADRON 2012</t>
  </si>
  <si>
    <t>Garrafa 10 Kg</t>
  </si>
  <si>
    <t>Garrafa 15 Kg</t>
  </si>
  <si>
    <t>Garrafa 30 Kg</t>
  </si>
  <si>
    <t>% SOLICITADO POR PRODUCTO</t>
  </si>
  <si>
    <t>TOTAL PERSONAS ATENDIDAS2012</t>
  </si>
  <si>
    <t>TOTAL PERSONAS ATENDIDAS 2011</t>
  </si>
  <si>
    <t>DIF. 2011/2012</t>
  </si>
  <si>
    <t>TOTAL PERSONAS ATENDIDAS 2010</t>
  </si>
  <si>
    <t>DIF. 2010/2011</t>
  </si>
  <si>
    <t>TOTAL PERSONAS ATENDIDAS 2009</t>
  </si>
  <si>
    <t>Incremento Simulación</t>
  </si>
  <si>
    <t>Incremento Padron 2012</t>
  </si>
  <si>
    <t>DIF. 2009/2010</t>
  </si>
  <si>
    <t>Kilos Consumidos</t>
  </si>
  <si>
    <t>Personas Atendidas por Kg</t>
  </si>
  <si>
    <t>Personas Atendidas por Kg.</t>
  </si>
  <si>
    <t xml:space="preserve">Total </t>
  </si>
  <si>
    <t>GARRAFA HASTA 15 KG.</t>
  </si>
  <si>
    <t>CILINDRO HASTA 45 KG.</t>
  </si>
  <si>
    <t>GRANEL</t>
  </si>
  <si>
    <t xml:space="preserve">Sartini </t>
  </si>
  <si>
    <t>Gas Austral</t>
  </si>
  <si>
    <t>Sartini</t>
  </si>
  <si>
    <t xml:space="preserve">CILINDRO </t>
  </si>
  <si>
    <t>GARRAFA 30</t>
  </si>
  <si>
    <t>GARRAFA 15</t>
  </si>
  <si>
    <t>GARRAFA 10</t>
  </si>
  <si>
    <t>ENVASES PROYECTADOS PADRON 2013</t>
  </si>
  <si>
    <t>DIFERENCIA ENTRE PERSONAS ATENTIDAS POR KILOS / KILOS CONSUMIDOS 2012</t>
  </si>
  <si>
    <t>Kilos Ent.</t>
  </si>
  <si>
    <t>Dif. Kg Atendidos/ kg entregados</t>
  </si>
  <si>
    <t>Proyectado</t>
  </si>
  <si>
    <t xml:space="preserve">PRECIOS FINALES Agosto / Diciembre 2012 </t>
  </si>
  <si>
    <t>Precios finales desde Enero/Julio 2012</t>
  </si>
  <si>
    <t>&lt;</t>
  </si>
  <si>
    <t>Cilindros hasta 45 Kg.</t>
  </si>
  <si>
    <t>Kilos Entregados</t>
  </si>
  <si>
    <t>Garrafa hasta 15 Kg.</t>
  </si>
  <si>
    <t>Cilindro hasta 45 Kg</t>
  </si>
  <si>
    <t>Meses/2012</t>
  </si>
  <si>
    <t xml:space="preserve">ANALISIS CANTIDADES VENDIDAS POR KILOS ENTREGADOS (VALES) SOBRE KILOS FACTURADOS </t>
  </si>
  <si>
    <t>Totales sin Consumir</t>
  </si>
  <si>
    <t>Diferencia Entregado/ Consumido</t>
  </si>
  <si>
    <t>Kilos Facturado Sartini SRL</t>
  </si>
  <si>
    <t>Kilos Facturado Gas Austral SA</t>
  </si>
  <si>
    <t>Kilos facturado Gas Austral SA</t>
  </si>
  <si>
    <t>Envase</t>
  </si>
  <si>
    <t>Compensación Nacional</t>
  </si>
  <si>
    <t>$ por Kg</t>
  </si>
  <si>
    <t>Compensación Provincial</t>
  </si>
  <si>
    <t>Total $</t>
  </si>
  <si>
    <t>Total Kg. Facturados</t>
  </si>
  <si>
    <t>Total $ Facturados</t>
  </si>
  <si>
    <t xml:space="preserve">SUBSIDIO A CARGO DE LA PROVINCIA DE TIERRA DEL FUEGO SEGÚN ACTA ACUERDO Nº 15856 (DEC. PROV. Nº 1707/12) </t>
  </si>
  <si>
    <t>Diferencia a cargo de la Provincia según clausual Septima Acta Acuerdo Nº 15856 (Dec. Prov. Nº 1707/12)</t>
  </si>
  <si>
    <t>Decreto Nacional 786/2002 Art. 25 y Resolución Nº 153/2003 Secretaria de Energía de Nación Arts. 1, 2 , 3 y 4</t>
  </si>
  <si>
    <t>Marco Legal</t>
  </si>
  <si>
    <t>Garrafa hasta 15 Kg</t>
  </si>
  <si>
    <t>Cilindro hasta 45 kg</t>
  </si>
  <si>
    <t>TOTAL COMPENSACIÓN PROVINCIA MAS DIFERENCIA A CARGO DE PROVINCIA POR APLICACIÓN ART. 25 DEC. NAC. 786/02</t>
  </si>
  <si>
    <t>Diferencia a la toma de decimales</t>
  </si>
  <si>
    <t>Descuento a cargo Prov. Según Analisis (7)</t>
  </si>
  <si>
    <t>Importe solicitado por Sartini Gas S.R.L. a la Secretaria de Energía de Nación por Compensación Nacional (a)</t>
  </si>
  <si>
    <t>Importe reconocido y abonado a Sartini Gas S.R.L. por la Secretaria de Energía de Nación (art. 25 Dec. Nac. Nº 786/02) (b)</t>
  </si>
  <si>
    <t>Diferencia entre lo Solicitado a Nación y lo Abonado (a) -(b)</t>
  </si>
  <si>
    <t>ANALISIS CALCULO DESCUENTO ART. 25 DEC. NAC. 786/2002 SARTINI GAS SRL</t>
  </si>
  <si>
    <t>Importe solicitado por Gas Austral S.A. a la Secretaria de Energía de Nación por Compensación Nacional (a)</t>
  </si>
  <si>
    <t>Importe reconocido y abonado a Gas Austral S.A. por la Secretaria de Energía de Nación (art. 25 Dec. Nac. Nº 786/02) (b)</t>
  </si>
  <si>
    <t xml:space="preserve">SARTINI GAS S.R.L. </t>
  </si>
  <si>
    <t>GAS AUSTRAL S.A.</t>
  </si>
  <si>
    <t>ANALISIS CALCULO DESCUENTO ART. 25 DEC. NAC. 786/2002</t>
  </si>
  <si>
    <t>CALCULO VARIACIONES DE PRECIOS SARTINI GAS SRL</t>
  </si>
  <si>
    <t>CALCULO VARIACIONES DE PRECIOS    GAS AUSTRAL SA</t>
  </si>
  <si>
    <t>PROVINCIA</t>
  </si>
  <si>
    <t>CALCULO VARIACIONES DE PRECIOS PROVINCIA</t>
  </si>
  <si>
    <t>CONTROL DE STOCK EMPRESAS</t>
  </si>
  <si>
    <t>Meses 2012</t>
  </si>
  <si>
    <t>Sartini Gas SRL</t>
  </si>
  <si>
    <t>Gas Austral SA</t>
  </si>
  <si>
    <t>Kilos Comp.</t>
  </si>
  <si>
    <t>Kilos Cons.</t>
  </si>
  <si>
    <t>Diferencia Entr/ Consumido</t>
  </si>
  <si>
    <t>Sobrante</t>
  </si>
  <si>
    <t>ANALISIS FACTURACION     SARTINI S.R.L.</t>
  </si>
  <si>
    <t xml:space="preserve">ANALISIS FACTURACION       GAS AUSTRAL S.A. </t>
  </si>
  <si>
    <t>Expte.</t>
  </si>
  <si>
    <t>Expte</t>
  </si>
  <si>
    <t>Saldo</t>
  </si>
  <si>
    <t>Importe</t>
  </si>
  <si>
    <t>2472-EC12</t>
  </si>
  <si>
    <t>29/102012</t>
  </si>
  <si>
    <t>Fecha de pago</t>
  </si>
  <si>
    <t>Nota SE</t>
  </si>
  <si>
    <t>Dif. Prov.</t>
  </si>
  <si>
    <t>|mporte solicitado</t>
  </si>
  <si>
    <t>|mporte Analisis</t>
  </si>
  <si>
    <t xml:space="preserve">Dif. </t>
  </si>
  <si>
    <t>Nota de Credito</t>
  </si>
  <si>
    <t>ANALISIS PAGOS GAS AUSTRAL SA</t>
  </si>
  <si>
    <t>ANALISIS PAGOS SARTINI GAS SRL</t>
  </si>
  <si>
    <t>Retroactivo Comp. Provincia</t>
  </si>
  <si>
    <t>Importe Analisis</t>
  </si>
  <si>
    <t>Importe Solicitado</t>
  </si>
  <si>
    <t>Importe abonado</t>
  </si>
  <si>
    <t>Importe Abonado</t>
  </si>
  <si>
    <t>Importe reconocido</t>
  </si>
  <si>
    <t xml:space="preserve">Analisis Importe a reconocer </t>
  </si>
  <si>
    <t>Dif. A cargo Prov.</t>
  </si>
  <si>
    <t>Dif calculo Nac.</t>
  </si>
  <si>
    <t>=</t>
  </si>
  <si>
    <t>19321-EC/12</t>
  </si>
  <si>
    <t>16478-EC/12</t>
  </si>
  <si>
    <t>CALCULO DESCUENTO ART. 25 DEC. NAC. 786/2002 GAS AUSTRAL SA</t>
  </si>
  <si>
    <t>(1)</t>
  </si>
  <si>
    <t>18032-EC/12</t>
  </si>
  <si>
    <t>18033-EC/12</t>
  </si>
  <si>
    <t>(3)</t>
  </si>
  <si>
    <t>21027-EC/12</t>
  </si>
  <si>
    <t>790/13</t>
  </si>
  <si>
    <t>784/13</t>
  </si>
  <si>
    <t>1356/12</t>
  </si>
  <si>
    <t>426/13</t>
  </si>
  <si>
    <t>8595/12</t>
  </si>
  <si>
    <t>8605/12</t>
  </si>
  <si>
    <t>7422/12</t>
  </si>
  <si>
    <t>7426/12</t>
  </si>
  <si>
    <t>7251/12</t>
  </si>
  <si>
    <t>7260/12</t>
  </si>
  <si>
    <t>681-ec-2013</t>
  </si>
  <si>
    <t>SARTINI S. R.L. - ENERO 2012</t>
  </si>
  <si>
    <t>GAS AUSTRAL S.A. - ENERO  2012</t>
  </si>
  <si>
    <t>SARTINI S. R.L. - FEBRERO 2012</t>
  </si>
  <si>
    <t>GAS AUSTRAL S.A. - FEBRERO  2012</t>
  </si>
  <si>
    <t>SARTINI S. R.L. - MARZO 2012</t>
  </si>
  <si>
    <t>GAS AUSTRAL S.A. - MARZO  2012</t>
  </si>
  <si>
    <t>SARTINI S. R.L. - ABRIL 2012</t>
  </si>
  <si>
    <t>GAS AUSTRAL S.A. - ABRIL  2012</t>
  </si>
  <si>
    <t>GAS AUSTRAL S.A. - JULIO  2012</t>
  </si>
  <si>
    <t>456/13</t>
  </si>
  <si>
    <t>25/01/13</t>
  </si>
  <si>
    <t>TOTAL DEF.</t>
  </si>
  <si>
    <t>Imp. Solicitado</t>
  </si>
  <si>
    <t>con acuerdo de precios anterior</t>
  </si>
  <si>
    <t>con nuevo acuerdo de precios</t>
  </si>
  <si>
    <t>CONTROL</t>
  </si>
  <si>
    <t>NOTA S.E. 784/13</t>
  </si>
  <si>
    <t>(2)</t>
  </si>
  <si>
    <t>(1) + (2)</t>
  </si>
  <si>
    <t>Promedio Trimestral</t>
  </si>
  <si>
    <t>NOTA S.E. 790/13</t>
  </si>
  <si>
    <t>NOTA S.E. 2316/12</t>
  </si>
  <si>
    <t>NOTA S.E.   456/13</t>
  </si>
  <si>
    <t>681-EC/13</t>
  </si>
  <si>
    <t>NOTA S.E. 2311/12</t>
  </si>
  <si>
    <t>EXP.21086-EC-12</t>
  </si>
  <si>
    <t>EXP.  2476-EC-12</t>
  </si>
  <si>
    <t>PAGOS:</t>
  </si>
  <si>
    <t>exp. 21086-ec-12</t>
  </si>
  <si>
    <t>NOTA S.E. 2880/12</t>
  </si>
  <si>
    <t>EXP.  5223-EC-12</t>
  </si>
  <si>
    <t>EXP.  5217-EC-12</t>
  </si>
  <si>
    <t>NOTA S.E. 2882/12</t>
  </si>
  <si>
    <t>EXP. 13418-EC-12</t>
  </si>
  <si>
    <t>NOTA S.E. 3626/12</t>
  </si>
  <si>
    <t>NOTA S.E. 3478/12</t>
  </si>
  <si>
    <t>EXP.  2472-EC-12</t>
  </si>
  <si>
    <t>(4)</t>
  </si>
  <si>
    <t>EXP. 13420-EC-12</t>
  </si>
  <si>
    <t>NOTA S.E. 3627/12</t>
  </si>
  <si>
    <t>NOTA S.E. 3596/12</t>
  </si>
  <si>
    <t>GAS AUSTRAL S.A. - MAYO 2012</t>
  </si>
  <si>
    <t>EXP. 13400-EC-12</t>
  </si>
  <si>
    <t>SARTINI S. R.L. - MAYO  2012</t>
  </si>
  <si>
    <t>NOTA S.E. 4855/12</t>
  </si>
  <si>
    <t>NOTA S.E. 4507/12</t>
  </si>
  <si>
    <t>SARTINI S. R.L. - JUNIO  2012</t>
  </si>
  <si>
    <t>GAS AUSTRAL S.A. - JUNIO 2012</t>
  </si>
  <si>
    <t>EXP. 13399-EC-12</t>
  </si>
  <si>
    <t>NOTA S.E. 4854/12</t>
  </si>
  <si>
    <t>NOTA S.E. 4884/12</t>
  </si>
  <si>
    <t>SARTINI S. R.L. - JULIO   2012</t>
  </si>
  <si>
    <t>EXP. 16478-EC-12</t>
  </si>
  <si>
    <t>NOTA S.E. 6523/12</t>
  </si>
  <si>
    <t>EXP. 21086-EC-12</t>
  </si>
  <si>
    <t>NOTA S.E. 5852/12</t>
  </si>
  <si>
    <t>SARTINI S. R.L. - AGOSTO     2012</t>
  </si>
  <si>
    <t>GAS AUSTRAL S.A. - AGOSTO    2012</t>
  </si>
  <si>
    <t>EXP. 18032-EC-12</t>
  </si>
  <si>
    <t>NOTA S.E. 7251/12</t>
  </si>
  <si>
    <t>SE PAGÓ $ 47.473,65  DIF:  $ 7.458,49</t>
  </si>
  <si>
    <t>3% DEL TOTAL DEL EXP. 21086-EC-12</t>
  </si>
  <si>
    <t>**</t>
  </si>
  <si>
    <t>NOTA S.E. 7260/12</t>
  </si>
  <si>
    <t>(1) + (2) - (3)</t>
  </si>
  <si>
    <t>SARTINI S. R.L. - SEPTIEMBRE     2012</t>
  </si>
  <si>
    <t>GAS AUSTRAL S.A. - SEPTIEMBRE    2012</t>
  </si>
  <si>
    <t>EXP. 18033-EC-12</t>
  </si>
  <si>
    <t>NOTA S.E. 7422/12</t>
  </si>
  <si>
    <t>NOTA S.E. 7426/12</t>
  </si>
  <si>
    <t>SARTINI S. R.L. - OCTUBRE     2012</t>
  </si>
  <si>
    <t>GAS AUSTRAL S.A. - OCTUBRE    2012</t>
  </si>
  <si>
    <t>EXP. 19321-EC-12</t>
  </si>
  <si>
    <t>NOTA S.E. 8595/12</t>
  </si>
  <si>
    <t>NOTA S.E. 8605/12</t>
  </si>
  <si>
    <t>VER OCTUBRE/12</t>
  </si>
  <si>
    <t>DIF. A PAGAR</t>
  </si>
  <si>
    <t>SARTINI S. R.L. - NOVIEMBRE     2012</t>
  </si>
  <si>
    <t>GAS AUSTRAL S.A. - NOVIEMBRE    2012</t>
  </si>
  <si>
    <t>EXP. 21027-EC-12</t>
  </si>
  <si>
    <t>NOTA S.E. 1356/13</t>
  </si>
  <si>
    <t>NOTA S.E. 423/13</t>
  </si>
  <si>
    <t>SARTINI S. R.L. - DICIEMBRE     2012</t>
  </si>
  <si>
    <t>GAS AUSTRAL S.A. - DICIEMBRE    2012</t>
  </si>
  <si>
    <t>EXP. 681-EC-13</t>
  </si>
  <si>
    <t>RESUMEN A PAGAR A SARTINI GAS S.R.L.</t>
  </si>
  <si>
    <t>RESUMEN A PAGAR A GAS AUSTRAL S.A.</t>
  </si>
  <si>
    <t>LIQUIDACIÓN</t>
  </si>
  <si>
    <t xml:space="preserve"> (1)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</si>
</sst>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"/>
    <numFmt numFmtId="167" formatCode="#,##0_ ;\-#,##0\ "/>
    <numFmt numFmtId="168" formatCode="[$$-2C0A]\ #,##0.00"/>
    <numFmt numFmtId="169" formatCode="0.000"/>
    <numFmt numFmtId="170" formatCode="#,##0;[Red]#,##0"/>
    <numFmt numFmtId="171" formatCode="#,##0.000"/>
    <numFmt numFmtId="172" formatCode="_ * #,##0_ ;_ * \-#,##0_ ;_ * &quot;-&quot;??_ ;_ @_ "/>
    <numFmt numFmtId="173" formatCode="&quot;$&quot;\ #,##0.00"/>
    <numFmt numFmtId="174" formatCode="0.0%"/>
    <numFmt numFmtId="175" formatCode="#,##0.0000"/>
    <numFmt numFmtId="176" formatCode="#,##0.000000"/>
    <numFmt numFmtId="177" formatCode="#,##0.0000000"/>
    <numFmt numFmtId="178" formatCode="#,##0.00_ ;\-#,##0.00\ "/>
    <numFmt numFmtId="179" formatCode="#,##0.00;[Red]#,##0.00"/>
    <numFmt numFmtId="180" formatCode="_ [$$-2C0A]\ * #,##0.00_ ;_ [$$-2C0A]\ * \-#,##0.00_ ;_ [$$-2C0A]\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1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17" fontId="3" fillId="0" borderId="23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right" vertical="top" wrapText="1"/>
    </xf>
    <xf numFmtId="17" fontId="3" fillId="0" borderId="17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2" fontId="7" fillId="0" borderId="17" xfId="55" applyNumberFormat="1" applyFont="1" applyFill="1" applyBorder="1" applyAlignment="1">
      <alignment horizontal="center"/>
    </xf>
    <xf numFmtId="2" fontId="7" fillId="0" borderId="14" xfId="55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11" fillId="0" borderId="17" xfId="0" applyNumberFormat="1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top" wrapText="1"/>
    </xf>
    <xf numFmtId="17" fontId="3" fillId="0" borderId="12" xfId="0" applyNumberFormat="1" applyFont="1" applyFill="1" applyBorder="1" applyAlignment="1">
      <alignment horizontal="center" wrapText="1"/>
    </xf>
    <xf numFmtId="17" fontId="3" fillId="0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right" vertical="top" wrapText="1"/>
    </xf>
    <xf numFmtId="2" fontId="3" fillId="0" borderId="20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168" fontId="0" fillId="0" borderId="0" xfId="0" applyNumberFormat="1" applyAlignment="1">
      <alignment/>
    </xf>
    <xf numFmtId="169" fontId="4" fillId="0" borderId="0" xfId="53" applyNumberFormat="1" applyFont="1" applyBorder="1">
      <alignment/>
      <protection/>
    </xf>
    <xf numFmtId="0" fontId="3" fillId="0" borderId="18" xfId="53" applyBorder="1">
      <alignment/>
      <protection/>
    </xf>
    <xf numFmtId="0" fontId="3" fillId="0" borderId="0" xfId="53" applyFill="1">
      <alignment/>
      <protection/>
    </xf>
    <xf numFmtId="166" fontId="3" fillId="0" borderId="0" xfId="53" applyNumberFormat="1" applyBorder="1">
      <alignment/>
      <protection/>
    </xf>
    <xf numFmtId="169" fontId="4" fillId="0" borderId="0" xfId="53" applyNumberFormat="1" applyFont="1" applyFill="1" applyBorder="1">
      <alignment/>
      <protection/>
    </xf>
    <xf numFmtId="166" fontId="3" fillId="0" borderId="0" xfId="53" applyNumberFormat="1" applyFill="1" applyBorder="1">
      <alignment/>
      <protection/>
    </xf>
    <xf numFmtId="166" fontId="4" fillId="0" borderId="0" xfId="53" applyNumberFormat="1" applyFont="1" applyFill="1" applyBorder="1">
      <alignment/>
      <protection/>
    </xf>
    <xf numFmtId="0" fontId="3" fillId="0" borderId="25" xfId="53" applyBorder="1">
      <alignment/>
      <protection/>
    </xf>
    <xf numFmtId="169" fontId="3" fillId="0" borderId="11" xfId="53" applyNumberFormat="1" applyFont="1" applyFill="1" applyBorder="1" applyAlignment="1">
      <alignment horizontal="center" vertical="center"/>
      <protection/>
    </xf>
    <xf numFmtId="169" fontId="3" fillId="0" borderId="16" xfId="53" applyNumberFormat="1" applyFont="1" applyFill="1" applyBorder="1" applyAlignment="1">
      <alignment horizontal="center" vertical="center" wrapText="1"/>
      <protection/>
    </xf>
    <xf numFmtId="166" fontId="3" fillId="0" borderId="16" xfId="53" applyNumberFormat="1" applyFont="1" applyFill="1" applyBorder="1" applyAlignment="1">
      <alignment horizontal="center" vertical="center" wrapText="1"/>
      <protection/>
    </xf>
    <xf numFmtId="169" fontId="3" fillId="0" borderId="16" xfId="53" applyNumberFormat="1" applyFont="1" applyFill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 vertical="center" wrapText="1"/>
      <protection/>
    </xf>
    <xf numFmtId="17" fontId="6" fillId="0" borderId="26" xfId="53" applyNumberFormat="1" applyFont="1" applyFill="1" applyBorder="1" applyAlignment="1">
      <alignment horizontal="left"/>
      <protection/>
    </xf>
    <xf numFmtId="0" fontId="3" fillId="0" borderId="27" xfId="53" applyBorder="1">
      <alignment/>
      <protection/>
    </xf>
    <xf numFmtId="0" fontId="3" fillId="0" borderId="28" xfId="53" applyBorder="1">
      <alignment/>
      <protection/>
    </xf>
    <xf numFmtId="169" fontId="4" fillId="0" borderId="29" xfId="53" applyNumberFormat="1" applyFont="1" applyBorder="1" applyAlignment="1">
      <alignment horizontal="center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4" fontId="4" fillId="35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7" fontId="5" fillId="36" borderId="16" xfId="48" applyNumberFormat="1" applyFont="1" applyFill="1" applyBorder="1" applyAlignment="1">
      <alignment horizontal="right"/>
    </xf>
    <xf numFmtId="167" fontId="5" fillId="37" borderId="16" xfId="48" applyNumberFormat="1" applyFont="1" applyFill="1" applyBorder="1" applyAlignment="1">
      <alignment horizontal="right"/>
    </xf>
    <xf numFmtId="0" fontId="3" fillId="36" borderId="16" xfId="53" applyFont="1" applyFill="1" applyBorder="1" applyAlignment="1">
      <alignment horizontal="center"/>
      <protection/>
    </xf>
    <xf numFmtId="4" fontId="0" fillId="36" borderId="18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4" fontId="0" fillId="37" borderId="18" xfId="0" applyNumberFormat="1" applyFill="1" applyBorder="1" applyAlignment="1">
      <alignment/>
    </xf>
    <xf numFmtId="4" fontId="0" fillId="37" borderId="17" xfId="0" applyNumberFormat="1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2" fontId="0" fillId="38" borderId="20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9" xfId="0" applyFill="1" applyBorder="1" applyAlignment="1">
      <alignment/>
    </xf>
    <xf numFmtId="2" fontId="0" fillId="38" borderId="15" xfId="0" applyNumberFormat="1" applyFill="1" applyBorder="1" applyAlignment="1">
      <alignment/>
    </xf>
    <xf numFmtId="0" fontId="0" fillId="38" borderId="21" xfId="0" applyFill="1" applyBorder="1" applyAlignment="1">
      <alignment/>
    </xf>
    <xf numFmtId="4" fontId="1" fillId="0" borderId="20" xfId="0" applyNumberFormat="1" applyFont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4" borderId="20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4" borderId="20" xfId="0" applyNumberFormat="1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4" fillId="35" borderId="17" xfId="0" applyNumberFormat="1" applyFont="1" applyFill="1" applyBorder="1" applyAlignment="1">
      <alignment horizontal="center"/>
    </xf>
    <xf numFmtId="4" fontId="14" fillId="34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35" borderId="12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35" borderId="20" xfId="0" applyNumberFormat="1" applyFont="1" applyFill="1" applyBorder="1" applyAlignment="1">
      <alignment horizontal="center"/>
    </xf>
    <xf numFmtId="4" fontId="14" fillId="34" borderId="20" xfId="0" applyNumberFormat="1" applyFont="1" applyFill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4" fontId="14" fillId="35" borderId="1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9" fontId="1" fillId="0" borderId="0" xfId="55" applyFont="1" applyAlignment="1">
      <alignment/>
    </xf>
    <xf numFmtId="3" fontId="0" fillId="39" borderId="18" xfId="0" applyNumberFormat="1" applyFill="1" applyBorder="1" applyAlignment="1">
      <alignment horizontal="center"/>
    </xf>
    <xf numFmtId="3" fontId="0" fillId="39" borderId="17" xfId="0" applyNumberFormat="1" applyFill="1" applyBorder="1" applyAlignment="1">
      <alignment horizontal="center"/>
    </xf>
    <xf numFmtId="3" fontId="0" fillId="39" borderId="14" xfId="0" applyNumberFormat="1" applyFill="1" applyBorder="1" applyAlignment="1">
      <alignment horizontal="center"/>
    </xf>
    <xf numFmtId="9" fontId="1" fillId="40" borderId="18" xfId="55" applyFont="1" applyFill="1" applyBorder="1" applyAlignment="1">
      <alignment horizontal="center"/>
    </xf>
    <xf numFmtId="9" fontId="1" fillId="40" borderId="17" xfId="55" applyFont="1" applyFill="1" applyBorder="1" applyAlignment="1">
      <alignment horizontal="center"/>
    </xf>
    <xf numFmtId="3" fontId="0" fillId="38" borderId="18" xfId="0" applyNumberFormat="1" applyFill="1" applyBorder="1" applyAlignment="1">
      <alignment horizontal="center"/>
    </xf>
    <xf numFmtId="3" fontId="0" fillId="38" borderId="17" xfId="0" applyNumberFormat="1" applyFill="1" applyBorder="1" applyAlignment="1">
      <alignment horizontal="center"/>
    </xf>
    <xf numFmtId="3" fontId="0" fillId="38" borderId="14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14" xfId="0" applyNumberFormat="1" applyFill="1" applyBorder="1" applyAlignment="1">
      <alignment horizontal="center"/>
    </xf>
    <xf numFmtId="3" fontId="0" fillId="36" borderId="18" xfId="0" applyNumberFormat="1" applyFill="1" applyBorder="1" applyAlignment="1">
      <alignment horizontal="center"/>
    </xf>
    <xf numFmtId="3" fontId="0" fillId="36" borderId="17" xfId="0" applyNumberFormat="1" applyFill="1" applyBorder="1" applyAlignment="1">
      <alignment horizontal="center"/>
    </xf>
    <xf numFmtId="9" fontId="1" fillId="41" borderId="18" xfId="55" applyFont="1" applyFill="1" applyBorder="1" applyAlignment="1">
      <alignment horizontal="center"/>
    </xf>
    <xf numFmtId="9" fontId="1" fillId="41" borderId="17" xfId="55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35" borderId="16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9" fontId="1" fillId="35" borderId="16" xfId="55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2" fontId="3" fillId="0" borderId="16" xfId="0" applyNumberFormat="1" applyFont="1" applyFill="1" applyBorder="1" applyAlignment="1">
      <alignment horizontal="right" vertical="top" wrapText="1"/>
    </xf>
    <xf numFmtId="10" fontId="3" fillId="0" borderId="16" xfId="0" applyNumberFormat="1" applyFont="1" applyFill="1" applyBorder="1" applyAlignment="1">
      <alignment horizontal="center" vertical="top" wrapText="1"/>
    </xf>
    <xf numFmtId="0" fontId="0" fillId="42" borderId="13" xfId="0" applyFill="1" applyBorder="1" applyAlignment="1">
      <alignment/>
    </xf>
    <xf numFmtId="0" fontId="0" fillId="42" borderId="11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1" xfId="0" applyFill="1" applyBorder="1" applyAlignment="1">
      <alignment/>
    </xf>
    <xf numFmtId="0" fontId="0" fillId="39" borderId="18" xfId="0" applyFill="1" applyBorder="1" applyAlignment="1">
      <alignment/>
    </xf>
    <xf numFmtId="0" fontId="0" fillId="44" borderId="18" xfId="0" applyFill="1" applyBorder="1" applyAlignment="1">
      <alignment/>
    </xf>
    <xf numFmtId="0" fontId="0" fillId="45" borderId="18" xfId="0" applyFill="1" applyBorder="1" applyAlignment="1">
      <alignment/>
    </xf>
    <xf numFmtId="4" fontId="0" fillId="45" borderId="14" xfId="0" applyNumberFormat="1" applyFill="1" applyBorder="1" applyAlignment="1">
      <alignment/>
    </xf>
    <xf numFmtId="0" fontId="3" fillId="38" borderId="18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45" borderId="14" xfId="0" applyFill="1" applyBorder="1" applyAlignment="1">
      <alignment/>
    </xf>
    <xf numFmtId="0" fontId="5" fillId="43" borderId="17" xfId="0" applyFont="1" applyFill="1" applyBorder="1" applyAlignment="1">
      <alignment horizontal="center" vertical="center" wrapText="1"/>
    </xf>
    <xf numFmtId="0" fontId="5" fillId="41" borderId="31" xfId="0" applyFont="1" applyFill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4" fontId="0" fillId="38" borderId="25" xfId="0" applyNumberFormat="1" applyFill="1" applyBorder="1" applyAlignment="1">
      <alignment/>
    </xf>
    <xf numFmtId="4" fontId="0" fillId="38" borderId="19" xfId="0" applyNumberFormat="1" applyFill="1" applyBorder="1" applyAlignment="1">
      <alignment/>
    </xf>
    <xf numFmtId="0" fontId="4" fillId="38" borderId="31" xfId="0" applyFont="1" applyFill="1" applyBorder="1" applyAlignment="1">
      <alignment horizontal="center" vertical="center" wrapText="1"/>
    </xf>
    <xf numFmtId="4" fontId="0" fillId="46" borderId="18" xfId="0" applyNumberFormat="1" applyFill="1" applyBorder="1" applyAlignment="1">
      <alignment/>
    </xf>
    <xf numFmtId="4" fontId="0" fillId="46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2" fillId="38" borderId="12" xfId="0" applyNumberFormat="1" applyFont="1" applyFill="1" applyBorder="1" applyAlignment="1">
      <alignment/>
    </xf>
    <xf numFmtId="2" fontId="17" fillId="34" borderId="12" xfId="0" applyNumberFormat="1" applyFont="1" applyFill="1" applyBorder="1" applyAlignment="1">
      <alignment/>
    </xf>
    <xf numFmtId="0" fontId="14" fillId="34" borderId="24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2" fontId="14" fillId="34" borderId="2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4" fontId="14" fillId="34" borderId="0" xfId="0" applyNumberFormat="1" applyFont="1" applyFill="1" applyBorder="1" applyAlignment="1">
      <alignment/>
    </xf>
    <xf numFmtId="2" fontId="14" fillId="34" borderId="15" xfId="0" applyNumberFormat="1" applyFont="1" applyFill="1" applyBorder="1" applyAlignment="1">
      <alignment/>
    </xf>
    <xf numFmtId="4" fontId="14" fillId="34" borderId="21" xfId="0" applyNumberFormat="1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167" fontId="5" fillId="0" borderId="24" xfId="53" applyNumberFormat="1" applyFont="1" applyFill="1" applyBorder="1">
      <alignment/>
      <protection/>
    </xf>
    <xf numFmtId="0" fontId="5" fillId="0" borderId="24" xfId="53" applyFont="1" applyFill="1" applyBorder="1">
      <alignment/>
      <protection/>
    </xf>
    <xf numFmtId="0" fontId="3" fillId="0" borderId="24" xfId="53" applyFill="1" applyBorder="1">
      <alignment/>
      <protection/>
    </xf>
    <xf numFmtId="0" fontId="5" fillId="0" borderId="24" xfId="53" applyFont="1" applyFill="1" applyBorder="1" applyAlignment="1">
      <alignment horizontal="left"/>
      <protection/>
    </xf>
    <xf numFmtId="0" fontId="5" fillId="0" borderId="24" xfId="53" applyFont="1" applyFill="1" applyBorder="1" applyAlignment="1">
      <alignment horizont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3" fillId="47" borderId="24" xfId="53" applyFill="1" applyBorder="1">
      <alignment/>
      <protection/>
    </xf>
    <xf numFmtId="169" fontId="3" fillId="47" borderId="24" xfId="53" applyNumberFormat="1" applyFont="1" applyFill="1" applyBorder="1" applyAlignment="1">
      <alignment/>
      <protection/>
    </xf>
    <xf numFmtId="169" fontId="3" fillId="47" borderId="25" xfId="53" applyNumberFormat="1" applyFont="1" applyFill="1" applyBorder="1" applyAlignment="1">
      <alignment/>
      <protection/>
    </xf>
    <xf numFmtId="0" fontId="3" fillId="48" borderId="24" xfId="53" applyFill="1" applyBorder="1">
      <alignment/>
      <protection/>
    </xf>
    <xf numFmtId="166" fontId="3" fillId="48" borderId="24" xfId="53" applyNumberFormat="1" applyFont="1" applyFill="1" applyBorder="1" applyAlignment="1">
      <alignment/>
      <protection/>
    </xf>
    <xf numFmtId="166" fontId="3" fillId="48" borderId="25" xfId="53" applyNumberFormat="1" applyFont="1" applyFill="1" applyBorder="1" applyAlignment="1">
      <alignment/>
      <protection/>
    </xf>
    <xf numFmtId="166" fontId="3" fillId="47" borderId="24" xfId="53" applyNumberFormat="1" applyFont="1" applyFill="1" applyBorder="1" applyAlignment="1">
      <alignment/>
      <protection/>
    </xf>
    <xf numFmtId="166" fontId="3" fillId="47" borderId="25" xfId="53" applyNumberFormat="1" applyFont="1" applyFill="1" applyBorder="1" applyAlignment="1">
      <alignment/>
      <protection/>
    </xf>
    <xf numFmtId="4" fontId="6" fillId="0" borderId="17" xfId="53" applyNumberFormat="1" applyFont="1" applyFill="1" applyBorder="1" applyAlignment="1">
      <alignment horizontal="right"/>
      <protection/>
    </xf>
    <xf numFmtId="4" fontId="6" fillId="0" borderId="19" xfId="53" applyNumberFormat="1" applyFont="1" applyFill="1" applyBorder="1" applyAlignment="1">
      <alignment horizontal="right"/>
      <protection/>
    </xf>
    <xf numFmtId="4" fontId="3" fillId="0" borderId="17" xfId="53" applyNumberFormat="1" applyFont="1" applyBorder="1" applyAlignment="1">
      <alignment horizontal="right"/>
      <protection/>
    </xf>
    <xf numFmtId="4" fontId="3" fillId="0" borderId="19" xfId="53" applyNumberFormat="1" applyFont="1" applyBorder="1" applyAlignment="1">
      <alignment horizontal="right"/>
      <protection/>
    </xf>
    <xf numFmtId="4" fontId="3" fillId="34" borderId="19" xfId="53" applyNumberFormat="1" applyFont="1" applyFill="1" applyBorder="1" applyAlignment="1">
      <alignment horizontal="right"/>
      <protection/>
    </xf>
    <xf numFmtId="4" fontId="6" fillId="34" borderId="17" xfId="48" applyNumberFormat="1" applyFont="1" applyFill="1" applyBorder="1" applyAlignment="1">
      <alignment horizontal="right"/>
    </xf>
    <xf numFmtId="4" fontId="6" fillId="36" borderId="0" xfId="48" applyNumberFormat="1" applyFont="1" applyFill="1" applyBorder="1" applyAlignment="1">
      <alignment horizontal="right"/>
    </xf>
    <xf numFmtId="4" fontId="5" fillId="0" borderId="35" xfId="48" applyNumberFormat="1" applyFont="1" applyFill="1" applyBorder="1" applyAlignment="1">
      <alignment horizontal="right"/>
    </xf>
    <xf numFmtId="4" fontId="5" fillId="34" borderId="35" xfId="48" applyNumberFormat="1" applyFont="1" applyFill="1" applyBorder="1" applyAlignment="1">
      <alignment horizontal="right"/>
    </xf>
    <xf numFmtId="4" fontId="5" fillId="34" borderId="18" xfId="48" applyNumberFormat="1" applyFont="1" applyFill="1" applyBorder="1" applyAlignment="1">
      <alignment horizontal="right"/>
    </xf>
    <xf numFmtId="4" fontId="5" fillId="0" borderId="18" xfId="48" applyNumberFormat="1" applyFont="1" applyFill="1" applyBorder="1" applyAlignment="1">
      <alignment horizontal="right"/>
    </xf>
    <xf numFmtId="4" fontId="5" fillId="0" borderId="36" xfId="48" applyNumberFormat="1" applyFont="1" applyFill="1" applyBorder="1" applyAlignment="1">
      <alignment horizontal="right"/>
    </xf>
    <xf numFmtId="4" fontId="5" fillId="49" borderId="18" xfId="48" applyNumberFormat="1" applyFont="1" applyFill="1" applyBorder="1" applyAlignment="1">
      <alignment horizontal="right"/>
    </xf>
    <xf numFmtId="4" fontId="5" fillId="49" borderId="25" xfId="48" applyNumberFormat="1" applyFont="1" applyFill="1" applyBorder="1" applyAlignment="1">
      <alignment horizontal="right"/>
    </xf>
    <xf numFmtId="4" fontId="5" fillId="34" borderId="25" xfId="48" applyNumberFormat="1" applyFont="1" applyFill="1" applyBorder="1" applyAlignment="1">
      <alignment horizontal="right"/>
    </xf>
    <xf numFmtId="4" fontId="5" fillId="34" borderId="16" xfId="48" applyNumberFormat="1" applyFont="1" applyFill="1" applyBorder="1" applyAlignment="1">
      <alignment horizontal="right"/>
    </xf>
    <xf numFmtId="4" fontId="5" fillId="36" borderId="16" xfId="48" applyNumberFormat="1" applyFont="1" applyFill="1" applyBorder="1" applyAlignment="1">
      <alignment horizontal="right"/>
    </xf>
    <xf numFmtId="4" fontId="5" fillId="37" borderId="16" xfId="48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20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12" fillId="45" borderId="18" xfId="0" applyNumberFormat="1" applyFont="1" applyFill="1" applyBorder="1" applyAlignment="1">
      <alignment/>
    </xf>
    <xf numFmtId="4" fontId="12" fillId="45" borderId="17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4" fillId="37" borderId="15" xfId="53" applyFont="1" applyFill="1" applyBorder="1" applyAlignment="1">
      <alignment horizontal="center" vertical="center"/>
      <protection/>
    </xf>
    <xf numFmtId="2" fontId="4" fillId="36" borderId="14" xfId="46" applyNumberFormat="1" applyFont="1" applyFill="1" applyBorder="1" applyAlignment="1">
      <alignment horizontal="center" vertical="center"/>
    </xf>
    <xf numFmtId="2" fontId="3" fillId="50" borderId="18" xfId="46" applyNumberFormat="1" applyFont="1" applyFill="1" applyBorder="1" applyAlignment="1">
      <alignment horizontal="center" vertical="center"/>
    </xf>
    <xf numFmtId="2" fontId="3" fillId="50" borderId="12" xfId="53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48" borderId="14" xfId="0" applyFont="1" applyFill="1" applyBorder="1" applyAlignment="1">
      <alignment horizontal="center"/>
    </xf>
    <xf numFmtId="0" fontId="3" fillId="48" borderId="16" xfId="0" applyFont="1" applyFill="1" applyBorder="1" applyAlignment="1">
      <alignment/>
    </xf>
    <xf numFmtId="4" fontId="5" fillId="48" borderId="16" xfId="0" applyNumberFormat="1" applyFont="1" applyFill="1" applyBorder="1" applyAlignment="1">
      <alignment horizontal="center"/>
    </xf>
    <xf numFmtId="0" fontId="5" fillId="51" borderId="14" xfId="0" applyFont="1" applyFill="1" applyBorder="1" applyAlignment="1">
      <alignment horizontal="center"/>
    </xf>
    <xf numFmtId="4" fontId="5" fillId="51" borderId="16" xfId="0" applyNumberFormat="1" applyFont="1" applyFill="1" applyBorder="1" applyAlignment="1">
      <alignment horizontal="center"/>
    </xf>
    <xf numFmtId="0" fontId="5" fillId="52" borderId="14" xfId="0" applyFont="1" applyFill="1" applyBorder="1" applyAlignment="1">
      <alignment horizontal="center"/>
    </xf>
    <xf numFmtId="2" fontId="5" fillId="52" borderId="1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4" fontId="4" fillId="35" borderId="14" xfId="0" applyNumberFormat="1" applyFont="1" applyFill="1" applyBorder="1" applyAlignment="1">
      <alignment/>
    </xf>
    <xf numFmtId="0" fontId="0" fillId="50" borderId="0" xfId="0" applyFill="1" applyBorder="1" applyAlignment="1">
      <alignment/>
    </xf>
    <xf numFmtId="4" fontId="9" fillId="40" borderId="12" xfId="0" applyNumberFormat="1" applyFont="1" applyFill="1" applyBorder="1" applyAlignment="1">
      <alignment horizontal="center"/>
    </xf>
    <xf numFmtId="4" fontId="9" fillId="40" borderId="24" xfId="0" applyNumberFormat="1" applyFont="1" applyFill="1" applyBorder="1" applyAlignment="1">
      <alignment horizontal="center"/>
    </xf>
    <xf numFmtId="3" fontId="9" fillId="40" borderId="24" xfId="0" applyNumberFormat="1" applyFont="1" applyFill="1" applyBorder="1" applyAlignment="1">
      <alignment horizontal="center"/>
    </xf>
    <xf numFmtId="4" fontId="9" fillId="40" borderId="25" xfId="0" applyNumberFormat="1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center"/>
    </xf>
    <xf numFmtId="4" fontId="9" fillId="40" borderId="0" xfId="0" applyNumberFormat="1" applyFont="1" applyFill="1" applyBorder="1" applyAlignment="1">
      <alignment horizontal="center"/>
    </xf>
    <xf numFmtId="4" fontId="9" fillId="40" borderId="19" xfId="0" applyNumberFormat="1" applyFont="1" applyFill="1" applyBorder="1" applyAlignment="1">
      <alignment horizontal="center"/>
    </xf>
    <xf numFmtId="3" fontId="9" fillId="40" borderId="20" xfId="0" applyNumberFormat="1" applyFont="1" applyFill="1" applyBorder="1" applyAlignment="1">
      <alignment horizontal="center"/>
    </xf>
    <xf numFmtId="4" fontId="9" fillId="40" borderId="15" xfId="0" applyNumberFormat="1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4" fontId="1" fillId="39" borderId="0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4" fillId="39" borderId="17" xfId="0" applyNumberFormat="1" applyFont="1" applyFill="1" applyBorder="1" applyAlignment="1">
      <alignment horizontal="center"/>
    </xf>
    <xf numFmtId="4" fontId="0" fillId="39" borderId="20" xfId="0" applyNumberForma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3" fontId="14" fillId="39" borderId="17" xfId="0" applyNumberFormat="1" applyFont="1" applyFill="1" applyBorder="1" applyAlignment="1">
      <alignment horizontal="center"/>
    </xf>
    <xf numFmtId="0" fontId="0" fillId="53" borderId="0" xfId="0" applyFill="1" applyAlignment="1">
      <alignment/>
    </xf>
    <xf numFmtId="2" fontId="0" fillId="53" borderId="0" xfId="0" applyNumberFormat="1" applyFill="1" applyAlignment="1">
      <alignment/>
    </xf>
    <xf numFmtId="0" fontId="2" fillId="53" borderId="0" xfId="0" applyFont="1" applyFill="1" applyAlignment="1">
      <alignment/>
    </xf>
    <xf numFmtId="1" fontId="2" fillId="50" borderId="16" xfId="0" applyNumberFormat="1" applyFont="1" applyFill="1" applyBorder="1" applyAlignment="1">
      <alignment horizontal="center"/>
    </xf>
    <xf numFmtId="3" fontId="14" fillId="39" borderId="16" xfId="0" applyNumberFormat="1" applyFont="1" applyFill="1" applyBorder="1" applyAlignment="1">
      <alignment horizontal="center"/>
    </xf>
    <xf numFmtId="3" fontId="14" fillId="47" borderId="17" xfId="0" applyNumberFormat="1" applyFont="1" applyFill="1" applyBorder="1" applyAlignment="1">
      <alignment horizontal="center"/>
    </xf>
    <xf numFmtId="3" fontId="14" fillId="47" borderId="16" xfId="0" applyNumberFormat="1" applyFont="1" applyFill="1" applyBorder="1" applyAlignment="1">
      <alignment horizontal="center"/>
    </xf>
    <xf numFmtId="3" fontId="14" fillId="43" borderId="17" xfId="0" applyNumberFormat="1" applyFont="1" applyFill="1" applyBorder="1" applyAlignment="1">
      <alignment horizontal="center"/>
    </xf>
    <xf numFmtId="3" fontId="14" fillId="43" borderId="16" xfId="0" applyNumberFormat="1" applyFont="1" applyFill="1" applyBorder="1" applyAlignment="1">
      <alignment horizontal="center"/>
    </xf>
    <xf numFmtId="3" fontId="0" fillId="39" borderId="16" xfId="0" applyNumberForma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47" borderId="18" xfId="0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53" borderId="12" xfId="0" applyFill="1" applyBorder="1" applyAlignment="1">
      <alignment horizontal="center"/>
    </xf>
    <xf numFmtId="9" fontId="1" fillId="35" borderId="18" xfId="55" applyFont="1" applyFill="1" applyBorder="1" applyAlignment="1">
      <alignment horizontal="center"/>
    </xf>
    <xf numFmtId="0" fontId="0" fillId="51" borderId="12" xfId="0" applyFill="1" applyBorder="1" applyAlignment="1">
      <alignment horizontal="center"/>
    </xf>
    <xf numFmtId="9" fontId="1" fillId="48" borderId="18" xfId="55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54" borderId="18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0" fillId="43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53" borderId="20" xfId="0" applyFill="1" applyBorder="1" applyAlignment="1">
      <alignment horizontal="center"/>
    </xf>
    <xf numFmtId="9" fontId="1" fillId="35" borderId="17" xfId="55" applyFont="1" applyFill="1" applyBorder="1" applyAlignment="1">
      <alignment horizontal="center"/>
    </xf>
    <xf numFmtId="0" fontId="0" fillId="51" borderId="20" xfId="0" applyFill="1" applyBorder="1" applyAlignment="1">
      <alignment horizontal="center"/>
    </xf>
    <xf numFmtId="9" fontId="1" fillId="48" borderId="17" xfId="55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54" borderId="17" xfId="0" applyFill="1" applyBorder="1" applyAlignment="1">
      <alignment horizontal="center"/>
    </xf>
    <xf numFmtId="9" fontId="1" fillId="54" borderId="17" xfId="55" applyFon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53" borderId="15" xfId="0" applyFill="1" applyBorder="1" applyAlignment="1">
      <alignment horizontal="center"/>
    </xf>
    <xf numFmtId="0" fontId="0" fillId="51" borderId="15" xfId="0" applyFill="1" applyBorder="1" applyAlignment="1">
      <alignment horizontal="center"/>
    </xf>
    <xf numFmtId="9" fontId="1" fillId="48" borderId="14" xfId="55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9" fontId="1" fillId="54" borderId="14" xfId="55" applyFont="1" applyFill="1" applyBorder="1" applyAlignment="1">
      <alignment horizontal="center"/>
    </xf>
    <xf numFmtId="1" fontId="0" fillId="39" borderId="16" xfId="0" applyNumberFormat="1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1" fontId="0" fillId="43" borderId="16" xfId="0" applyNumberFormat="1" applyFill="1" applyBorder="1" applyAlignment="1">
      <alignment horizontal="center"/>
    </xf>
    <xf numFmtId="1" fontId="0" fillId="45" borderId="16" xfId="0" applyNumberFormat="1" applyFill="1" applyBorder="1" applyAlignment="1">
      <alignment horizontal="center"/>
    </xf>
    <xf numFmtId="9" fontId="14" fillId="35" borderId="16" xfId="55" applyFont="1" applyFill="1" applyBorder="1" applyAlignment="1">
      <alignment horizontal="center"/>
    </xf>
    <xf numFmtId="1" fontId="0" fillId="51" borderId="16" xfId="0" applyNumberFormat="1" applyFill="1" applyBorder="1" applyAlignment="1">
      <alignment horizontal="center"/>
    </xf>
    <xf numFmtId="9" fontId="1" fillId="48" borderId="16" xfId="55" applyFont="1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9" fontId="1" fillId="54" borderId="16" xfId="55" applyFont="1" applyFill="1" applyBorder="1" applyAlignment="1">
      <alignment horizontal="center"/>
    </xf>
    <xf numFmtId="1" fontId="0" fillId="50" borderId="16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3" fontId="0" fillId="40" borderId="18" xfId="0" applyNumberFormat="1" applyFill="1" applyBorder="1" applyAlignment="1">
      <alignment/>
    </xf>
    <xf numFmtId="3" fontId="0" fillId="40" borderId="17" xfId="0" applyNumberFormat="1" applyFill="1" applyBorder="1" applyAlignment="1">
      <alignment/>
    </xf>
    <xf numFmtId="3" fontId="0" fillId="40" borderId="16" xfId="0" applyNumberFormat="1" applyFill="1" applyBorder="1" applyAlignment="1">
      <alignment/>
    </xf>
    <xf numFmtId="3" fontId="0" fillId="47" borderId="18" xfId="0" applyNumberFormat="1" applyFill="1" applyBorder="1" applyAlignment="1">
      <alignment/>
    </xf>
    <xf numFmtId="3" fontId="0" fillId="47" borderId="17" xfId="0" applyNumberFormat="1" applyFill="1" applyBorder="1" applyAlignment="1">
      <alignment/>
    </xf>
    <xf numFmtId="0" fontId="0" fillId="47" borderId="17" xfId="0" applyFill="1" applyBorder="1" applyAlignment="1">
      <alignment/>
    </xf>
    <xf numFmtId="0" fontId="0" fillId="47" borderId="14" xfId="0" applyFill="1" applyBorder="1" applyAlignment="1">
      <alignment/>
    </xf>
    <xf numFmtId="3" fontId="0" fillId="47" borderId="16" xfId="0" applyNumberFormat="1" applyFill="1" applyBorder="1" applyAlignment="1">
      <alignment/>
    </xf>
    <xf numFmtId="0" fontId="0" fillId="47" borderId="18" xfId="0" applyFill="1" applyBorder="1" applyAlignment="1">
      <alignment/>
    </xf>
    <xf numFmtId="0" fontId="0" fillId="47" borderId="16" xfId="0" applyFill="1" applyBorder="1" applyAlignment="1">
      <alignment/>
    </xf>
    <xf numFmtId="9" fontId="1" fillId="34" borderId="18" xfId="55" applyFont="1" applyFill="1" applyBorder="1" applyAlignment="1">
      <alignment/>
    </xf>
    <xf numFmtId="9" fontId="1" fillId="34" borderId="17" xfId="55" applyFont="1" applyFill="1" applyBorder="1" applyAlignment="1">
      <alignment/>
    </xf>
    <xf numFmtId="9" fontId="1" fillId="34" borderId="16" xfId="55" applyFont="1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16" xfId="0" applyFill="1" applyBorder="1" applyAlignment="1">
      <alignment/>
    </xf>
    <xf numFmtId="170" fontId="0" fillId="0" borderId="0" xfId="0" applyNumberFormat="1" applyAlignment="1">
      <alignment/>
    </xf>
    <xf numFmtId="0" fontId="0" fillId="55" borderId="19" xfId="0" applyFill="1" applyBorder="1" applyAlignment="1">
      <alignment/>
    </xf>
    <xf numFmtId="0" fontId="0" fillId="55" borderId="22" xfId="0" applyFill="1" applyBorder="1" applyAlignment="1">
      <alignment/>
    </xf>
    <xf numFmtId="1" fontId="1" fillId="38" borderId="11" xfId="55" applyNumberFormat="1" applyFont="1" applyFill="1" applyBorder="1" applyAlignment="1">
      <alignment horizontal="center"/>
    </xf>
    <xf numFmtId="1" fontId="1" fillId="38" borderId="16" xfId="55" applyNumberFormat="1" applyFont="1" applyFill="1" applyBorder="1" applyAlignment="1">
      <alignment horizontal="center"/>
    </xf>
    <xf numFmtId="1" fontId="0" fillId="48" borderId="16" xfId="0" applyNumberFormat="1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1" fontId="0" fillId="53" borderId="16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48" borderId="18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2" fontId="0" fillId="53" borderId="18" xfId="0" applyNumberFormat="1" applyFill="1" applyBorder="1" applyAlignment="1">
      <alignment horizontal="center"/>
    </xf>
    <xf numFmtId="0" fontId="0" fillId="53" borderId="18" xfId="0" applyFill="1" applyBorder="1" applyAlignment="1">
      <alignment horizontal="center"/>
    </xf>
    <xf numFmtId="170" fontId="0" fillId="38" borderId="17" xfId="0" applyNumberFormat="1" applyFill="1" applyBorder="1" applyAlignment="1">
      <alignment horizontal="center"/>
    </xf>
    <xf numFmtId="170" fontId="0" fillId="39" borderId="17" xfId="0" applyNumberFormat="1" applyFill="1" applyBorder="1" applyAlignment="1">
      <alignment horizontal="center"/>
    </xf>
    <xf numFmtId="170" fontId="0" fillId="48" borderId="17" xfId="0" applyNumberFormat="1" applyFill="1" applyBorder="1" applyAlignment="1">
      <alignment horizontal="center"/>
    </xf>
    <xf numFmtId="170" fontId="0" fillId="36" borderId="17" xfId="0" applyNumberFormat="1" applyFill="1" applyBorder="1" applyAlignment="1">
      <alignment horizontal="center"/>
    </xf>
    <xf numFmtId="170" fontId="0" fillId="53" borderId="17" xfId="0" applyNumberFormat="1" applyFill="1" applyBorder="1" applyAlignment="1">
      <alignment horizontal="center"/>
    </xf>
    <xf numFmtId="1" fontId="0" fillId="53" borderId="17" xfId="0" applyNumberFormat="1" applyFill="1" applyBorder="1" applyAlignment="1">
      <alignment horizontal="center"/>
    </xf>
    <xf numFmtId="170" fontId="0" fillId="38" borderId="14" xfId="0" applyNumberFormat="1" applyFill="1" applyBorder="1" applyAlignment="1">
      <alignment horizontal="center"/>
    </xf>
    <xf numFmtId="170" fontId="0" fillId="39" borderId="14" xfId="0" applyNumberFormat="1" applyFill="1" applyBorder="1" applyAlignment="1">
      <alignment horizontal="center"/>
    </xf>
    <xf numFmtId="170" fontId="0" fillId="48" borderId="14" xfId="0" applyNumberFormat="1" applyFill="1" applyBorder="1" applyAlignment="1">
      <alignment horizontal="center"/>
    </xf>
    <xf numFmtId="170" fontId="0" fillId="36" borderId="14" xfId="0" applyNumberFormat="1" applyFill="1" applyBorder="1" applyAlignment="1">
      <alignment horizontal="center"/>
    </xf>
    <xf numFmtId="170" fontId="0" fillId="53" borderId="14" xfId="0" applyNumberFormat="1" applyFill="1" applyBorder="1" applyAlignment="1">
      <alignment horizontal="center"/>
    </xf>
    <xf numFmtId="1" fontId="0" fillId="53" borderId="14" xfId="0" applyNumberFormat="1" applyFill="1" applyBorder="1" applyAlignment="1">
      <alignment horizontal="center"/>
    </xf>
    <xf numFmtId="0" fontId="0" fillId="52" borderId="20" xfId="0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9" fontId="1" fillId="34" borderId="18" xfId="55" applyNumberFormat="1" applyFont="1" applyFill="1" applyBorder="1" applyAlignment="1">
      <alignment/>
    </xf>
    <xf numFmtId="2" fontId="14" fillId="34" borderId="0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171" fontId="1" fillId="34" borderId="17" xfId="0" applyNumberFormat="1" applyFont="1" applyFill="1" applyBorder="1" applyAlignment="1">
      <alignment horizontal="center"/>
    </xf>
    <xf numFmtId="2" fontId="14" fillId="34" borderId="19" xfId="0" applyNumberFormat="1" applyFont="1" applyFill="1" applyBorder="1" applyAlignment="1">
      <alignment/>
    </xf>
    <xf numFmtId="2" fontId="0" fillId="38" borderId="0" xfId="0" applyNumberFormat="1" applyFill="1" applyBorder="1" applyAlignment="1">
      <alignment/>
    </xf>
    <xf numFmtId="2" fontId="0" fillId="38" borderId="19" xfId="0" applyNumberFormat="1" applyFill="1" applyBorder="1" applyAlignment="1">
      <alignment/>
    </xf>
    <xf numFmtId="4" fontId="2" fillId="50" borderId="11" xfId="0" applyNumberFormat="1" applyFont="1" applyFill="1" applyBorder="1" applyAlignment="1">
      <alignment/>
    </xf>
    <xf numFmtId="0" fontId="0" fillId="50" borderId="13" xfId="0" applyFill="1" applyBorder="1" applyAlignment="1">
      <alignment/>
    </xf>
    <xf numFmtId="0" fontId="13" fillId="53" borderId="10" xfId="0" applyFont="1" applyFill="1" applyBorder="1" applyAlignment="1">
      <alignment/>
    </xf>
    <xf numFmtId="0" fontId="13" fillId="53" borderId="13" xfId="0" applyFont="1" applyFill="1" applyBorder="1" applyAlignment="1">
      <alignment/>
    </xf>
    <xf numFmtId="4" fontId="2" fillId="53" borderId="11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164" fontId="5" fillId="39" borderId="21" xfId="49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/>
    </xf>
    <xf numFmtId="2" fontId="4" fillId="44" borderId="14" xfId="0" applyNumberFormat="1" applyFont="1" applyFill="1" applyBorder="1" applyAlignment="1">
      <alignment/>
    </xf>
    <xf numFmtId="172" fontId="1" fillId="35" borderId="16" xfId="46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Fill="1" applyBorder="1" applyAlignment="1">
      <alignment/>
    </xf>
    <xf numFmtId="173" fontId="0" fillId="0" borderId="41" xfId="0" applyNumberFormat="1" applyBorder="1" applyAlignment="1">
      <alignment/>
    </xf>
    <xf numFmtId="0" fontId="25" fillId="0" borderId="0" xfId="0" applyFont="1" applyAlignment="1">
      <alignment/>
    </xf>
    <xf numFmtId="4" fontId="3" fillId="0" borderId="14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10" fontId="3" fillId="0" borderId="14" xfId="0" applyNumberFormat="1" applyFont="1" applyFill="1" applyBorder="1" applyAlignment="1">
      <alignment horizontal="center" vertical="top" wrapText="1"/>
    </xf>
    <xf numFmtId="4" fontId="0" fillId="0" borderId="14" xfId="0" applyNumberFormat="1" applyBorder="1" applyAlignment="1">
      <alignment/>
    </xf>
    <xf numFmtId="4" fontId="3" fillId="0" borderId="18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right" vertical="top" wrapText="1"/>
    </xf>
    <xf numFmtId="2" fontId="3" fillId="0" borderId="17" xfId="0" applyNumberFormat="1" applyFont="1" applyFill="1" applyBorder="1" applyAlignment="1">
      <alignment horizontal="right" vertical="top" wrapText="1"/>
    </xf>
    <xf numFmtId="4" fontId="3" fillId="39" borderId="17" xfId="0" applyNumberFormat="1" applyFont="1" applyFill="1" applyBorder="1" applyAlignment="1">
      <alignment/>
    </xf>
    <xf numFmtId="4" fontId="0" fillId="38" borderId="18" xfId="0" applyNumberFormat="1" applyFill="1" applyBorder="1" applyAlignment="1">
      <alignment/>
    </xf>
    <xf numFmtId="4" fontId="0" fillId="38" borderId="1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37" xfId="0" applyNumberFormat="1" applyBorder="1" applyAlignment="1">
      <alignment/>
    </xf>
    <xf numFmtId="4" fontId="0" fillId="0" borderId="40" xfId="0" applyNumberFormat="1" applyBorder="1" applyAlignment="1">
      <alignment/>
    </xf>
    <xf numFmtId="3" fontId="1" fillId="0" borderId="17" xfId="0" applyNumberFormat="1" applyFont="1" applyBorder="1" applyAlignment="1">
      <alignment horizontal="center"/>
    </xf>
    <xf numFmtId="17" fontId="3" fillId="0" borderId="37" xfId="0" applyNumberFormat="1" applyFont="1" applyFill="1" applyBorder="1" applyAlignment="1">
      <alignment horizontal="center" wrapText="1"/>
    </xf>
    <xf numFmtId="4" fontId="3" fillId="0" borderId="37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4" fontId="4" fillId="0" borderId="37" xfId="0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17" fontId="0" fillId="0" borderId="37" xfId="0" applyNumberFormat="1" applyBorder="1" applyAlignment="1">
      <alignment/>
    </xf>
    <xf numFmtId="174" fontId="0" fillId="0" borderId="37" xfId="0" applyNumberFormat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wrapText="1"/>
    </xf>
    <xf numFmtId="173" fontId="0" fillId="0" borderId="0" xfId="0" applyNumberFormat="1" applyBorder="1" applyAlignment="1">
      <alignment/>
    </xf>
    <xf numFmtId="0" fontId="0" fillId="38" borderId="18" xfId="0" applyFill="1" applyBorder="1" applyAlignment="1">
      <alignment/>
    </xf>
    <xf numFmtId="0" fontId="0" fillId="38" borderId="17" xfId="0" applyFill="1" applyBorder="1" applyAlignment="1">
      <alignment/>
    </xf>
    <xf numFmtId="0" fontId="0" fillId="48" borderId="16" xfId="0" applyFill="1" applyBorder="1" applyAlignment="1">
      <alignment/>
    </xf>
    <xf numFmtId="0" fontId="0" fillId="48" borderId="18" xfId="0" applyFill="1" applyBorder="1" applyAlignment="1">
      <alignment/>
    </xf>
    <xf numFmtId="0" fontId="0" fillId="44" borderId="16" xfId="0" applyFill="1" applyBorder="1" applyAlignment="1">
      <alignment/>
    </xf>
    <xf numFmtId="3" fontId="0" fillId="0" borderId="38" xfId="0" applyNumberFormat="1" applyBorder="1" applyAlignment="1">
      <alignment vertical="top" shrinkToFit="1"/>
    </xf>
    <xf numFmtId="3" fontId="0" fillId="0" borderId="43" xfId="0" applyNumberFormat="1" applyBorder="1" applyAlignment="1">
      <alignment vertical="top" shrinkToFit="1"/>
    </xf>
    <xf numFmtId="9" fontId="0" fillId="0" borderId="43" xfId="0" applyNumberFormat="1" applyBorder="1" applyAlignment="1">
      <alignment vertical="top" shrinkToFit="1"/>
    </xf>
    <xf numFmtId="3" fontId="0" fillId="0" borderId="44" xfId="0" applyNumberFormat="1" applyBorder="1" applyAlignment="1">
      <alignment vertical="top" shrinkToFit="1"/>
    </xf>
    <xf numFmtId="9" fontId="0" fillId="0" borderId="45" xfId="0" applyNumberFormat="1" applyBorder="1" applyAlignment="1">
      <alignment vertical="top" shrinkToFit="1"/>
    </xf>
    <xf numFmtId="3" fontId="0" fillId="0" borderId="45" xfId="0" applyNumberFormat="1" applyBorder="1" applyAlignment="1">
      <alignment vertical="top" shrinkToFit="1"/>
    </xf>
    <xf numFmtId="3" fontId="0" fillId="0" borderId="39" xfId="0" applyNumberFormat="1" applyBorder="1" applyAlignment="1">
      <alignment vertical="top" shrinkToFit="1"/>
    </xf>
    <xf numFmtId="3" fontId="0" fillId="0" borderId="0" xfId="0" applyNumberFormat="1" applyBorder="1" applyAlignment="1">
      <alignment vertical="top" shrinkToFit="1"/>
    </xf>
    <xf numFmtId="9" fontId="0" fillId="0" borderId="0" xfId="0" applyNumberFormat="1" applyBorder="1" applyAlignment="1">
      <alignment vertical="top" shrinkToFit="1"/>
    </xf>
    <xf numFmtId="3" fontId="0" fillId="0" borderId="46" xfId="0" applyNumberFormat="1" applyBorder="1" applyAlignment="1">
      <alignment vertical="top" shrinkToFit="1"/>
    </xf>
    <xf numFmtId="9" fontId="0" fillId="0" borderId="31" xfId="0" applyNumberFormat="1" applyBorder="1" applyAlignment="1">
      <alignment vertical="top" shrinkToFit="1"/>
    </xf>
    <xf numFmtId="3" fontId="0" fillId="0" borderId="31" xfId="0" applyNumberFormat="1" applyBorder="1" applyAlignment="1">
      <alignment vertical="top" shrinkToFit="1"/>
    </xf>
    <xf numFmtId="3" fontId="0" fillId="0" borderId="40" xfId="0" applyNumberFormat="1" applyBorder="1" applyAlignment="1">
      <alignment vertical="top" shrinkToFit="1"/>
    </xf>
    <xf numFmtId="3" fontId="0" fillId="0" borderId="47" xfId="0" applyNumberFormat="1" applyBorder="1" applyAlignment="1">
      <alignment vertical="top" shrinkToFit="1"/>
    </xf>
    <xf numFmtId="9" fontId="0" fillId="0" borderId="47" xfId="0" applyNumberFormat="1" applyBorder="1" applyAlignment="1">
      <alignment vertical="top" shrinkToFit="1"/>
    </xf>
    <xf numFmtId="9" fontId="0" fillId="0" borderId="34" xfId="0" applyNumberFormat="1" applyBorder="1" applyAlignment="1">
      <alignment vertical="top" shrinkToFit="1"/>
    </xf>
    <xf numFmtId="3" fontId="0" fillId="0" borderId="34" xfId="0" applyNumberFormat="1" applyBorder="1" applyAlignment="1">
      <alignment vertical="top" shrinkToFit="1"/>
    </xf>
    <xf numFmtId="3" fontId="0" fillId="0" borderId="48" xfId="0" applyNumberFormat="1" applyBorder="1" applyAlignment="1">
      <alignment vertical="top" shrinkToFit="1"/>
    </xf>
    <xf numFmtId="10" fontId="3" fillId="0" borderId="25" xfId="0" applyNumberFormat="1" applyFont="1" applyFill="1" applyBorder="1" applyAlignment="1">
      <alignment horizontal="center" vertical="top" wrapText="1"/>
    </xf>
    <xf numFmtId="10" fontId="3" fillId="0" borderId="19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175" fontId="0" fillId="38" borderId="0" xfId="0" applyNumberFormat="1" applyFill="1" applyBorder="1" applyAlignment="1">
      <alignment/>
    </xf>
    <xf numFmtId="166" fontId="0" fillId="38" borderId="0" xfId="0" applyNumberFormat="1" applyFill="1" applyBorder="1" applyAlignment="1">
      <alignment/>
    </xf>
    <xf numFmtId="166" fontId="0" fillId="38" borderId="19" xfId="0" applyNumberFormat="1" applyFill="1" applyBorder="1" applyAlignment="1">
      <alignment/>
    </xf>
    <xf numFmtId="173" fontId="0" fillId="0" borderId="0" xfId="0" applyNumberFormat="1" applyAlignment="1">
      <alignment/>
    </xf>
    <xf numFmtId="2" fontId="0" fillId="38" borderId="14" xfId="0" applyNumberFormat="1" applyFill="1" applyBorder="1" applyAlignment="1">
      <alignment/>
    </xf>
    <xf numFmtId="2" fontId="0" fillId="45" borderId="14" xfId="0" applyNumberFormat="1" applyFill="1" applyBorder="1" applyAlignment="1">
      <alignment/>
    </xf>
    <xf numFmtId="171" fontId="0" fillId="38" borderId="21" xfId="0" applyNumberFormat="1" applyFill="1" applyBorder="1" applyAlignment="1">
      <alignment/>
    </xf>
    <xf numFmtId="2" fontId="0" fillId="38" borderId="22" xfId="0" applyNumberFormat="1" applyFill="1" applyBorder="1" applyAlignment="1">
      <alignment/>
    </xf>
    <xf numFmtId="4" fontId="4" fillId="39" borderId="16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7" borderId="10" xfId="53" applyFont="1" applyFill="1" applyBorder="1" applyAlignment="1">
      <alignment horizontal="center"/>
      <protection/>
    </xf>
    <xf numFmtId="0" fontId="2" fillId="47" borderId="14" xfId="0" applyFont="1" applyFill="1" applyBorder="1" applyAlignment="1">
      <alignment horizontal="center" vertical="center"/>
    </xf>
    <xf numFmtId="0" fontId="0" fillId="47" borderId="12" xfId="0" applyFill="1" applyBorder="1" applyAlignment="1">
      <alignment horizontal="center"/>
    </xf>
    <xf numFmtId="4" fontId="0" fillId="47" borderId="18" xfId="0" applyNumberFormat="1" applyFill="1" applyBorder="1" applyAlignment="1">
      <alignment horizontal="center"/>
    </xf>
    <xf numFmtId="14" fontId="0" fillId="47" borderId="20" xfId="0" applyNumberFormat="1" applyFill="1" applyBorder="1" applyAlignment="1">
      <alignment horizontal="center"/>
    </xf>
    <xf numFmtId="4" fontId="0" fillId="47" borderId="17" xfId="0" applyNumberFormat="1" applyFill="1" applyBorder="1" applyAlignment="1">
      <alignment horizontal="center"/>
    </xf>
    <xf numFmtId="0" fontId="0" fillId="47" borderId="20" xfId="0" applyFill="1" applyBorder="1" applyAlignment="1">
      <alignment horizontal="center"/>
    </xf>
    <xf numFmtId="0" fontId="0" fillId="47" borderId="20" xfId="0" applyFill="1" applyBorder="1" applyAlignment="1">
      <alignment/>
    </xf>
    <xf numFmtId="0" fontId="0" fillId="47" borderId="15" xfId="0" applyFill="1" applyBorder="1" applyAlignment="1">
      <alignment/>
    </xf>
    <xf numFmtId="0" fontId="5" fillId="47" borderId="14" xfId="0" applyFont="1" applyFill="1" applyBorder="1" applyAlignment="1">
      <alignment horizontal="center" vertical="center"/>
    </xf>
    <xf numFmtId="0" fontId="0" fillId="51" borderId="25" xfId="0" applyFill="1" applyBorder="1" applyAlignment="1">
      <alignment/>
    </xf>
    <xf numFmtId="0" fontId="0" fillId="51" borderId="19" xfId="0" applyFill="1" applyBorder="1" applyAlignment="1">
      <alignment/>
    </xf>
    <xf numFmtId="0" fontId="0" fillId="51" borderId="17" xfId="0" applyFill="1" applyBorder="1" applyAlignment="1">
      <alignment/>
    </xf>
    <xf numFmtId="0" fontId="0" fillId="51" borderId="22" xfId="0" applyFill="1" applyBorder="1" applyAlignment="1">
      <alignment/>
    </xf>
    <xf numFmtId="0" fontId="0" fillId="51" borderId="14" xfId="0" applyFill="1" applyBorder="1" applyAlignment="1">
      <alignment/>
    </xf>
    <xf numFmtId="0" fontId="0" fillId="51" borderId="16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5" fillId="47" borderId="16" xfId="0" applyFont="1" applyFill="1" applyBorder="1" applyAlignment="1">
      <alignment vertical="center"/>
    </xf>
    <xf numFmtId="14" fontId="0" fillId="47" borderId="12" xfId="0" applyNumberFormat="1" applyFill="1" applyBorder="1" applyAlignment="1">
      <alignment horizontal="center"/>
    </xf>
    <xf numFmtId="0" fontId="5" fillId="51" borderId="14" xfId="0" applyFont="1" applyFill="1" applyBorder="1" applyAlignment="1">
      <alignment vertical="center"/>
    </xf>
    <xf numFmtId="0" fontId="5" fillId="51" borderId="16" xfId="0" applyFont="1" applyFill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0" fontId="2" fillId="47" borderId="17" xfId="0" applyFont="1" applyFill="1" applyBorder="1" applyAlignment="1">
      <alignment horizontal="center" vertical="center"/>
    </xf>
    <xf numFmtId="4" fontId="0" fillId="47" borderId="0" xfId="0" applyNumberFormat="1" applyFill="1" applyBorder="1" applyAlignment="1">
      <alignment horizontal="center"/>
    </xf>
    <xf numFmtId="49" fontId="3" fillId="51" borderId="25" xfId="0" applyNumberFormat="1" applyFont="1" applyFill="1" applyBorder="1" applyAlignment="1">
      <alignment horizontal="center"/>
    </xf>
    <xf numFmtId="49" fontId="3" fillId="51" borderId="18" xfId="0" applyNumberFormat="1" applyFont="1" applyFill="1" applyBorder="1" applyAlignment="1">
      <alignment horizontal="center"/>
    </xf>
    <xf numFmtId="49" fontId="3" fillId="51" borderId="19" xfId="0" applyNumberFormat="1" applyFont="1" applyFill="1" applyBorder="1" applyAlignment="1">
      <alignment horizontal="center"/>
    </xf>
    <xf numFmtId="49" fontId="3" fillId="51" borderId="17" xfId="0" applyNumberFormat="1" applyFont="1" applyFill="1" applyBorder="1" applyAlignment="1">
      <alignment horizontal="center"/>
    </xf>
    <xf numFmtId="14" fontId="3" fillId="51" borderId="17" xfId="0" applyNumberFormat="1" applyFont="1" applyFill="1" applyBorder="1" applyAlignment="1">
      <alignment horizontal="center"/>
    </xf>
    <xf numFmtId="0" fontId="11" fillId="51" borderId="19" xfId="0" applyFont="1" applyFill="1" applyBorder="1" applyAlignment="1">
      <alignment horizontal="center"/>
    </xf>
    <xf numFmtId="14" fontId="11" fillId="51" borderId="17" xfId="0" applyNumberFormat="1" applyFont="1" applyFill="1" applyBorder="1" applyAlignment="1">
      <alignment horizontal="center"/>
    </xf>
    <xf numFmtId="4" fontId="0" fillId="51" borderId="18" xfId="0" applyNumberFormat="1" applyFill="1" applyBorder="1" applyAlignment="1">
      <alignment/>
    </xf>
    <xf numFmtId="0" fontId="0" fillId="51" borderId="20" xfId="0" applyFill="1" applyBorder="1" applyAlignment="1">
      <alignment/>
    </xf>
    <xf numFmtId="0" fontId="0" fillId="51" borderId="15" xfId="0" applyFill="1" applyBorder="1" applyAlignment="1">
      <alignment/>
    </xf>
    <xf numFmtId="0" fontId="5" fillId="51" borderId="18" xfId="0" applyFont="1" applyFill="1" applyBorder="1" applyAlignment="1">
      <alignment vertical="center"/>
    </xf>
    <xf numFmtId="0" fontId="0" fillId="51" borderId="0" xfId="0" applyFill="1" applyBorder="1" applyAlignment="1">
      <alignment/>
    </xf>
    <xf numFmtId="4" fontId="0" fillId="51" borderId="17" xfId="0" applyNumberFormat="1" applyFill="1" applyBorder="1" applyAlignment="1">
      <alignment/>
    </xf>
    <xf numFmtId="4" fontId="3" fillId="51" borderId="18" xfId="0" applyNumberFormat="1" applyFont="1" applyFill="1" applyBorder="1" applyAlignment="1">
      <alignment horizontal="right"/>
    </xf>
    <xf numFmtId="4" fontId="3" fillId="51" borderId="17" xfId="0" applyNumberFormat="1" applyFont="1" applyFill="1" applyBorder="1" applyAlignment="1">
      <alignment horizontal="right"/>
    </xf>
    <xf numFmtId="0" fontId="5" fillId="51" borderId="17" xfId="0" applyFont="1" applyFill="1" applyBorder="1" applyAlignment="1">
      <alignment vertical="center"/>
    </xf>
    <xf numFmtId="4" fontId="3" fillId="51" borderId="0" xfId="0" applyNumberFormat="1" applyFont="1" applyFill="1" applyBorder="1" applyAlignment="1">
      <alignment/>
    </xf>
    <xf numFmtId="0" fontId="0" fillId="51" borderId="21" xfId="0" applyFill="1" applyBorder="1" applyAlignment="1">
      <alignment/>
    </xf>
    <xf numFmtId="0" fontId="5" fillId="51" borderId="17" xfId="0" applyFont="1" applyFill="1" applyBorder="1" applyAlignment="1">
      <alignment horizontal="center" vertical="center"/>
    </xf>
    <xf numFmtId="4" fontId="0" fillId="47" borderId="12" xfId="0" applyNumberFormat="1" applyFill="1" applyBorder="1" applyAlignment="1">
      <alignment horizontal="center"/>
    </xf>
    <xf numFmtId="4" fontId="0" fillId="47" borderId="20" xfId="0" applyNumberFormat="1" applyFill="1" applyBorder="1" applyAlignment="1">
      <alignment horizontal="center"/>
    </xf>
    <xf numFmtId="4" fontId="3" fillId="51" borderId="24" xfId="0" applyNumberFormat="1" applyFont="1" applyFill="1" applyBorder="1" applyAlignment="1">
      <alignment/>
    </xf>
    <xf numFmtId="49" fontId="3" fillId="51" borderId="24" xfId="0" applyNumberFormat="1" applyFont="1" applyFill="1" applyBorder="1" applyAlignment="1">
      <alignment horizontal="center"/>
    </xf>
    <xf numFmtId="49" fontId="3" fillId="51" borderId="0" xfId="0" applyNumberFormat="1" applyFont="1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0" fontId="2" fillId="50" borderId="49" xfId="0" applyFont="1" applyFill="1" applyBorder="1" applyAlignment="1">
      <alignment/>
    </xf>
    <xf numFmtId="4" fontId="2" fillId="50" borderId="4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5" xfId="0" applyFill="1" applyBorder="1" applyAlignment="1">
      <alignment/>
    </xf>
    <xf numFmtId="4" fontId="2" fillId="51" borderId="16" xfId="0" applyNumberFormat="1" applyFont="1" applyFill="1" applyBorder="1" applyAlignment="1">
      <alignment/>
    </xf>
    <xf numFmtId="4" fontId="2" fillId="51" borderId="14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4" fontId="2" fillId="35" borderId="18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/>
    </xf>
    <xf numFmtId="4" fontId="3" fillId="51" borderId="20" xfId="0" applyNumberFormat="1" applyFont="1" applyFill="1" applyBorder="1" applyAlignment="1">
      <alignment/>
    </xf>
    <xf numFmtId="0" fontId="2" fillId="47" borderId="14" xfId="0" applyFont="1" applyFill="1" applyBorder="1" applyAlignment="1">
      <alignment horizontal="center" vertical="center"/>
    </xf>
    <xf numFmtId="2" fontId="0" fillId="47" borderId="18" xfId="0" applyNumberFormat="1" applyFill="1" applyBorder="1" applyAlignment="1">
      <alignment horizontal="center"/>
    </xf>
    <xf numFmtId="2" fontId="0" fillId="47" borderId="17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" fillId="47" borderId="17" xfId="0" applyFont="1" applyFill="1" applyBorder="1" applyAlignment="1">
      <alignment horizontal="center" vertical="center"/>
    </xf>
    <xf numFmtId="2" fontId="0" fillId="47" borderId="14" xfId="0" applyNumberForma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51" borderId="12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9" xfId="0" applyFill="1" applyBorder="1" applyAlignment="1">
      <alignment/>
    </xf>
    <xf numFmtId="0" fontId="5" fillId="36" borderId="18" xfId="0" applyFont="1" applyFill="1" applyBorder="1" applyAlignment="1">
      <alignment vertical="center"/>
    </xf>
    <xf numFmtId="4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5" fillId="47" borderId="17" xfId="0" applyFont="1" applyFill="1" applyBorder="1" applyAlignment="1">
      <alignment horizontal="center" vertical="center"/>
    </xf>
    <xf numFmtId="0" fontId="0" fillId="47" borderId="25" xfId="0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0" fillId="51" borderId="19" xfId="0" applyFill="1" applyBorder="1" applyAlignment="1">
      <alignment horizontal="center"/>
    </xf>
    <xf numFmtId="0" fontId="0" fillId="51" borderId="24" xfId="0" applyFill="1" applyBorder="1" applyAlignment="1">
      <alignment/>
    </xf>
    <xf numFmtId="14" fontId="0" fillId="51" borderId="0" xfId="0" applyNumberFormat="1" applyFill="1" applyBorder="1" applyAlignment="1">
      <alignment horizontal="center"/>
    </xf>
    <xf numFmtId="4" fontId="0" fillId="51" borderId="2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/>
    </xf>
    <xf numFmtId="4" fontId="0" fillId="47" borderId="24" xfId="0" applyNumberFormat="1" applyFill="1" applyBorder="1" applyAlignment="1">
      <alignment horizontal="center"/>
    </xf>
    <xf numFmtId="4" fontId="0" fillId="47" borderId="14" xfId="0" applyNumberForma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4" fontId="0" fillId="36" borderId="24" xfId="0" applyNumberFormat="1" applyFill="1" applyBorder="1" applyAlignment="1">
      <alignment horizontal="right"/>
    </xf>
    <xf numFmtId="4" fontId="0" fillId="36" borderId="0" xfId="0" applyNumberFormat="1" applyFill="1" applyBorder="1" applyAlignment="1">
      <alignment horizontal="right"/>
    </xf>
    <xf numFmtId="4" fontId="0" fillId="36" borderId="16" xfId="0" applyNumberFormat="1" applyFill="1" applyBorder="1" applyAlignment="1">
      <alignment/>
    </xf>
    <xf numFmtId="4" fontId="0" fillId="47" borderId="16" xfId="0" applyNumberFormat="1" applyFill="1" applyBorder="1" applyAlignment="1">
      <alignment/>
    </xf>
    <xf numFmtId="9" fontId="1" fillId="0" borderId="0" xfId="55" applyFont="1" applyAlignment="1">
      <alignment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47" borderId="22" xfId="0" applyFill="1" applyBorder="1" applyAlignment="1">
      <alignment horizontal="center"/>
    </xf>
    <xf numFmtId="4" fontId="3" fillId="39" borderId="18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73" fontId="0" fillId="0" borderId="41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7" fontId="0" fillId="0" borderId="0" xfId="0" applyNumberFormat="1" applyAlignment="1">
      <alignment/>
    </xf>
    <xf numFmtId="176" fontId="0" fillId="0" borderId="0" xfId="0" applyNumberFormat="1" applyFill="1" applyBorder="1" applyAlignment="1">
      <alignment/>
    </xf>
    <xf numFmtId="10" fontId="3" fillId="0" borderId="24" xfId="0" applyNumberFormat="1" applyFont="1" applyFill="1" applyBorder="1" applyAlignment="1">
      <alignment horizontal="center" vertical="top" wrapText="1"/>
    </xf>
    <xf numFmtId="10" fontId="3" fillId="0" borderId="0" xfId="0" applyNumberFormat="1" applyFont="1" applyFill="1" applyBorder="1" applyAlignment="1">
      <alignment horizontal="center" vertical="top" wrapText="1"/>
    </xf>
    <xf numFmtId="49" fontId="3" fillId="51" borderId="12" xfId="0" applyNumberFormat="1" applyFont="1" applyFill="1" applyBorder="1" applyAlignment="1">
      <alignment horizontal="center"/>
    </xf>
    <xf numFmtId="49" fontId="3" fillId="51" borderId="20" xfId="0" applyNumberFormat="1" applyFont="1" applyFill="1" applyBorder="1" applyAlignment="1">
      <alignment horizontal="center"/>
    </xf>
    <xf numFmtId="14" fontId="3" fillId="51" borderId="20" xfId="0" applyNumberFormat="1" applyFont="1" applyFill="1" applyBorder="1" applyAlignment="1">
      <alignment horizontal="center"/>
    </xf>
    <xf numFmtId="14" fontId="3" fillId="51" borderId="0" xfId="0" applyNumberFormat="1" applyFont="1" applyFill="1" applyBorder="1" applyAlignment="1">
      <alignment horizontal="center"/>
    </xf>
    <xf numFmtId="4" fontId="3" fillId="51" borderId="24" xfId="0" applyNumberFormat="1" applyFont="1" applyFill="1" applyBorder="1" applyAlignment="1">
      <alignment/>
    </xf>
    <xf numFmtId="4" fontId="3" fillId="51" borderId="0" xfId="0" applyNumberFormat="1" applyFont="1" applyFill="1" applyBorder="1" applyAlignment="1">
      <alignment/>
    </xf>
    <xf numFmtId="4" fontId="3" fillId="51" borderId="18" xfId="0" applyNumberFormat="1" applyFont="1" applyFill="1" applyBorder="1" applyAlignment="1">
      <alignment/>
    </xf>
    <xf numFmtId="4" fontId="3" fillId="51" borderId="17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48" borderId="20" xfId="0" applyNumberFormat="1" applyFill="1" applyBorder="1" applyAlignment="1">
      <alignment horizontal="center"/>
    </xf>
    <xf numFmtId="3" fontId="0" fillId="48" borderId="12" xfId="0" applyNumberFormat="1" applyFill="1" applyBorder="1" applyAlignment="1">
      <alignment horizontal="center"/>
    </xf>
    <xf numFmtId="9" fontId="1" fillId="48" borderId="17" xfId="55" applyNumberFormat="1" applyFont="1" applyFill="1" applyBorder="1" applyAlignment="1">
      <alignment horizontal="center"/>
    </xf>
    <xf numFmtId="3" fontId="0" fillId="44" borderId="0" xfId="0" applyNumberFormat="1" applyFill="1" applyBorder="1" applyAlignment="1">
      <alignment horizontal="center"/>
    </xf>
    <xf numFmtId="3" fontId="0" fillId="44" borderId="12" xfId="0" applyNumberFormat="1" applyFill="1" applyBorder="1" applyAlignment="1">
      <alignment horizontal="center"/>
    </xf>
    <xf numFmtId="9" fontId="1" fillId="44" borderId="18" xfId="55" applyFont="1" applyFill="1" applyBorder="1" applyAlignment="1">
      <alignment horizontal="center"/>
    </xf>
    <xf numFmtId="3" fontId="0" fillId="44" borderId="20" xfId="0" applyNumberFormat="1" applyFill="1" applyBorder="1" applyAlignment="1">
      <alignment horizontal="center"/>
    </xf>
    <xf numFmtId="9" fontId="1" fillId="44" borderId="17" xfId="55" applyFont="1" applyFill="1" applyBorder="1" applyAlignment="1">
      <alignment horizontal="center"/>
    </xf>
    <xf numFmtId="0" fontId="31" fillId="0" borderId="17" xfId="0" applyFont="1" applyBorder="1" applyAlignment="1">
      <alignment/>
    </xf>
    <xf numFmtId="0" fontId="31" fillId="0" borderId="14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23" fillId="0" borderId="17" xfId="0" applyNumberFormat="1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79" fontId="0" fillId="47" borderId="12" xfId="0" applyNumberFormat="1" applyFill="1" applyBorder="1" applyAlignment="1">
      <alignment/>
    </xf>
    <xf numFmtId="179" fontId="0" fillId="47" borderId="20" xfId="0" applyNumberFormat="1" applyFill="1" applyBorder="1" applyAlignment="1">
      <alignment/>
    </xf>
    <xf numFmtId="179" fontId="0" fillId="47" borderId="15" xfId="0" applyNumberFormat="1" applyFill="1" applyBorder="1" applyAlignment="1">
      <alignment/>
    </xf>
    <xf numFmtId="179" fontId="2" fillId="47" borderId="14" xfId="0" applyNumberFormat="1" applyFont="1" applyFill="1" applyBorder="1" applyAlignment="1">
      <alignment/>
    </xf>
    <xf numFmtId="4" fontId="0" fillId="51" borderId="14" xfId="0" applyNumberFormat="1" applyFill="1" applyBorder="1" applyAlignment="1">
      <alignment/>
    </xf>
    <xf numFmtId="178" fontId="3" fillId="51" borderId="24" xfId="0" applyNumberFormat="1" applyFont="1" applyFill="1" applyBorder="1" applyAlignment="1">
      <alignment horizontal="right"/>
    </xf>
    <xf numFmtId="178" fontId="3" fillId="51" borderId="18" xfId="0" applyNumberFormat="1" applyFont="1" applyFill="1" applyBorder="1" applyAlignment="1">
      <alignment horizontal="right"/>
    </xf>
    <xf numFmtId="178" fontId="3" fillId="51" borderId="0" xfId="0" applyNumberFormat="1" applyFont="1" applyFill="1" applyBorder="1" applyAlignment="1">
      <alignment horizontal="right"/>
    </xf>
    <xf numFmtId="178" fontId="3" fillId="51" borderId="17" xfId="0" applyNumberFormat="1" applyFont="1" applyFill="1" applyBorder="1" applyAlignment="1">
      <alignment horizontal="right"/>
    </xf>
    <xf numFmtId="178" fontId="3" fillId="51" borderId="0" xfId="0" applyNumberFormat="1" applyFont="1" applyFill="1" applyBorder="1" applyAlignment="1">
      <alignment/>
    </xf>
    <xf numFmtId="178" fontId="0" fillId="51" borderId="0" xfId="0" applyNumberFormat="1" applyFill="1" applyBorder="1" applyAlignment="1">
      <alignment/>
    </xf>
    <xf numFmtId="178" fontId="0" fillId="51" borderId="17" xfId="0" applyNumberFormat="1" applyFill="1" applyBorder="1" applyAlignment="1">
      <alignment/>
    </xf>
    <xf numFmtId="178" fontId="0" fillId="51" borderId="21" xfId="0" applyNumberFormat="1" applyFill="1" applyBorder="1" applyAlignment="1">
      <alignment/>
    </xf>
    <xf numFmtId="178" fontId="0" fillId="51" borderId="14" xfId="0" applyNumberFormat="1" applyFill="1" applyBorder="1" applyAlignment="1">
      <alignment/>
    </xf>
    <xf numFmtId="4" fontId="3" fillId="51" borderId="14" xfId="0" applyNumberFormat="1" applyFont="1" applyFill="1" applyBorder="1" applyAlignment="1">
      <alignment/>
    </xf>
    <xf numFmtId="178" fontId="0" fillId="36" borderId="12" xfId="0" applyNumberFormat="1" applyFill="1" applyBorder="1" applyAlignment="1">
      <alignment/>
    </xf>
    <xf numFmtId="178" fontId="0" fillId="36" borderId="20" xfId="0" applyNumberFormat="1" applyFill="1" applyBorder="1" applyAlignment="1">
      <alignment/>
    </xf>
    <xf numFmtId="178" fontId="0" fillId="36" borderId="15" xfId="0" applyNumberFormat="1" applyFill="1" applyBorder="1" applyAlignment="1">
      <alignment/>
    </xf>
    <xf numFmtId="178" fontId="2" fillId="36" borderId="16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32" fillId="40" borderId="25" xfId="0" applyFont="1" applyFill="1" applyBorder="1" applyAlignment="1">
      <alignment/>
    </xf>
    <xf numFmtId="1" fontId="32" fillId="40" borderId="19" xfId="0" applyNumberFormat="1" applyFont="1" applyFill="1" applyBorder="1" applyAlignment="1">
      <alignment horizontal="center"/>
    </xf>
    <xf numFmtId="9" fontId="32" fillId="43" borderId="18" xfId="55" applyFont="1" applyFill="1" applyBorder="1" applyAlignment="1">
      <alignment horizontal="center"/>
    </xf>
    <xf numFmtId="9" fontId="32" fillId="43" borderId="17" xfId="55" applyFont="1" applyFill="1" applyBorder="1" applyAlignment="1">
      <alignment horizontal="center"/>
    </xf>
    <xf numFmtId="3" fontId="32" fillId="45" borderId="18" xfId="0" applyNumberFormat="1" applyFont="1" applyFill="1" applyBorder="1" applyAlignment="1">
      <alignment horizontal="center"/>
    </xf>
    <xf numFmtId="3" fontId="32" fillId="45" borderId="17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7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8" fontId="3" fillId="0" borderId="14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38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46" xfId="0" applyNumberFormat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4" fontId="4" fillId="39" borderId="16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35" borderId="16" xfId="0" applyNumberFormat="1" applyFont="1" applyFill="1" applyBorder="1" applyAlignment="1">
      <alignment horizontal="center"/>
    </xf>
    <xf numFmtId="0" fontId="35" fillId="40" borderId="17" xfId="0" applyFont="1" applyFill="1" applyBorder="1" applyAlignment="1">
      <alignment horizontal="center" vertical="center" wrapText="1"/>
    </xf>
    <xf numFmtId="0" fontId="34" fillId="43" borderId="17" xfId="0" applyFont="1" applyFill="1" applyBorder="1" applyAlignment="1">
      <alignment horizontal="center" vertical="center" wrapText="1"/>
    </xf>
    <xf numFmtId="4" fontId="36" fillId="45" borderId="18" xfId="0" applyNumberFormat="1" applyFont="1" applyFill="1" applyBorder="1" applyAlignment="1">
      <alignment/>
    </xf>
    <xf numFmtId="4" fontId="36" fillId="45" borderId="17" xfId="0" applyNumberFormat="1" applyFont="1" applyFill="1" applyBorder="1" applyAlignment="1">
      <alignment/>
    </xf>
    <xf numFmtId="174" fontId="0" fillId="0" borderId="37" xfId="0" applyNumberFormat="1" applyBorder="1" applyAlignment="1">
      <alignment horizontal="center"/>
    </xf>
    <xf numFmtId="0" fontId="34" fillId="51" borderId="14" xfId="0" applyFont="1" applyFill="1" applyBorder="1" applyAlignment="1">
      <alignment horizontal="center"/>
    </xf>
    <xf numFmtId="4" fontId="34" fillId="51" borderId="1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3" fontId="0" fillId="0" borderId="37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173" fontId="0" fillId="0" borderId="45" xfId="0" applyNumberFormat="1" applyBorder="1" applyAlignment="1">
      <alignment/>
    </xf>
    <xf numFmtId="7" fontId="0" fillId="0" borderId="50" xfId="0" applyNumberFormat="1" applyBorder="1" applyAlignment="1">
      <alignment/>
    </xf>
    <xf numFmtId="4" fontId="3" fillId="0" borderId="43" xfId="0" applyNumberFormat="1" applyFont="1" applyFill="1" applyBorder="1" applyAlignment="1">
      <alignment horizontal="center" vertical="top" wrapText="1"/>
    </xf>
    <xf numFmtId="7" fontId="0" fillId="0" borderId="0" xfId="0" applyNumberFormat="1" applyAlignment="1">
      <alignment/>
    </xf>
    <xf numFmtId="7" fontId="0" fillId="0" borderId="40" xfId="0" applyNumberFormat="1" applyBorder="1" applyAlignment="1">
      <alignment/>
    </xf>
    <xf numFmtId="7" fontId="0" fillId="0" borderId="0" xfId="0" applyNumberFormat="1" applyAlignment="1">
      <alignment vertical="center" wrapText="1"/>
    </xf>
    <xf numFmtId="7" fontId="0" fillId="0" borderId="0" xfId="0" applyNumberFormat="1" applyAlignment="1">
      <alignment horizontal="center"/>
    </xf>
    <xf numFmtId="7" fontId="0" fillId="0" borderId="45" xfId="0" applyNumberFormat="1" applyBorder="1" applyAlignment="1">
      <alignment/>
    </xf>
    <xf numFmtId="10" fontId="3" fillId="0" borderId="37" xfId="55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 horizontal="center"/>
    </xf>
    <xf numFmtId="4" fontId="0" fillId="0" borderId="24" xfId="0" applyNumberFormat="1" applyBorder="1" applyAlignment="1">
      <alignment/>
    </xf>
    <xf numFmtId="173" fontId="0" fillId="55" borderId="41" xfId="0" applyNumberFormat="1" applyFill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Border="1" applyAlignment="1">
      <alignment horizontal="center"/>
    </xf>
    <xf numFmtId="7" fontId="0" fillId="0" borderId="24" xfId="0" applyNumberFormat="1" applyBorder="1" applyAlignment="1">
      <alignment/>
    </xf>
    <xf numFmtId="7" fontId="0" fillId="0" borderId="43" xfId="0" applyNumberFormat="1" applyBorder="1" applyAlignment="1">
      <alignment/>
    </xf>
    <xf numFmtId="7" fontId="0" fillId="0" borderId="0" xfId="0" applyNumberFormat="1" applyAlignment="1">
      <alignment vertical="center"/>
    </xf>
    <xf numFmtId="0" fontId="1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" fontId="0" fillId="0" borderId="0" xfId="0" applyNumberFormat="1" applyAlignment="1">
      <alignment/>
    </xf>
    <xf numFmtId="173" fontId="0" fillId="0" borderId="0" xfId="0" applyNumberFormat="1" applyBorder="1" applyAlignment="1">
      <alignment horizontal="left"/>
    </xf>
    <xf numFmtId="0" fontId="23" fillId="0" borderId="44" xfId="0" applyFont="1" applyBorder="1" applyAlignment="1">
      <alignment vertical="top" shrinkToFit="1"/>
    </xf>
    <xf numFmtId="0" fontId="23" fillId="0" borderId="46" xfId="0" applyFont="1" applyBorder="1" applyAlignment="1">
      <alignment vertical="top" shrinkToFit="1"/>
    </xf>
    <xf numFmtId="0" fontId="23" fillId="0" borderId="48" xfId="0" applyFont="1" applyBorder="1" applyAlignment="1">
      <alignment vertical="top" shrinkToFit="1"/>
    </xf>
    <xf numFmtId="3" fontId="0" fillId="0" borderId="37" xfId="0" applyNumberFormat="1" applyBorder="1" applyAlignment="1">
      <alignment wrapText="1"/>
    </xf>
    <xf numFmtId="4" fontId="0" fillId="51" borderId="16" xfId="0" applyNumberFormat="1" applyFill="1" applyBorder="1" applyAlignment="1">
      <alignment/>
    </xf>
    <xf numFmtId="4" fontId="0" fillId="47" borderId="20" xfId="0" applyNumberFormat="1" applyFill="1" applyBorder="1" applyAlignment="1">
      <alignment horizontal="center"/>
    </xf>
    <xf numFmtId="4" fontId="2" fillId="47" borderId="16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54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3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43" borderId="18" xfId="0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43" borderId="18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23" fillId="53" borderId="23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51" borderId="18" xfId="0" applyFont="1" applyFill="1" applyBorder="1" applyAlignment="1">
      <alignment horizontal="center" vertical="center" wrapText="1"/>
    </xf>
    <xf numFmtId="0" fontId="0" fillId="48" borderId="18" xfId="0" applyFill="1" applyBorder="1" applyAlignment="1">
      <alignment horizontal="center" vertical="center" wrapText="1"/>
    </xf>
    <xf numFmtId="0" fontId="2" fillId="47" borderId="51" xfId="0" applyFont="1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32" fillId="43" borderId="1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45" borderId="10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7" borderId="17" xfId="0" applyFill="1" applyBorder="1" applyAlignment="1">
      <alignment horizontal="center" vertical="center" wrapText="1"/>
    </xf>
    <xf numFmtId="0" fontId="0" fillId="47" borderId="14" xfId="0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50" borderId="0" xfId="0" applyFill="1" applyAlignment="1">
      <alignment horizontal="center" wrapText="1"/>
    </xf>
    <xf numFmtId="0" fontId="28" fillId="40" borderId="21" xfId="0" applyFont="1" applyFill="1" applyBorder="1" applyAlignment="1">
      <alignment horizontal="center" vertical="center" wrapText="1"/>
    </xf>
    <xf numFmtId="0" fontId="32" fillId="43" borderId="12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  <xf numFmtId="0" fontId="26" fillId="42" borderId="43" xfId="0" applyFont="1" applyFill="1" applyBorder="1" applyAlignment="1">
      <alignment horizontal="center"/>
    </xf>
    <xf numFmtId="0" fontId="26" fillId="42" borderId="45" xfId="0" applyFont="1" applyFill="1" applyBorder="1" applyAlignment="1">
      <alignment horizontal="center"/>
    </xf>
    <xf numFmtId="0" fontId="26" fillId="42" borderId="48" xfId="0" applyFont="1" applyFill="1" applyBorder="1" applyAlignment="1">
      <alignment horizontal="center"/>
    </xf>
    <xf numFmtId="0" fontId="26" fillId="42" borderId="47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 wrapText="1"/>
    </xf>
    <xf numFmtId="0" fontId="26" fillId="42" borderId="43" xfId="0" applyFont="1" applyFill="1" applyBorder="1" applyAlignment="1">
      <alignment horizontal="center" wrapText="1"/>
    </xf>
    <xf numFmtId="0" fontId="26" fillId="42" borderId="45" xfId="0" applyFont="1" applyFill="1" applyBorder="1" applyAlignment="1">
      <alignment horizontal="center" wrapText="1"/>
    </xf>
    <xf numFmtId="0" fontId="26" fillId="42" borderId="48" xfId="0" applyFont="1" applyFill="1" applyBorder="1" applyAlignment="1">
      <alignment horizontal="center" wrapText="1"/>
    </xf>
    <xf numFmtId="0" fontId="26" fillId="42" borderId="47" xfId="0" applyFont="1" applyFill="1" applyBorder="1" applyAlignment="1">
      <alignment horizontal="center" wrapText="1"/>
    </xf>
    <xf numFmtId="0" fontId="26" fillId="42" borderId="34" xfId="0" applyFont="1" applyFill="1" applyBorder="1" applyAlignment="1">
      <alignment horizontal="center" wrapText="1"/>
    </xf>
    <xf numFmtId="0" fontId="27" fillId="42" borderId="44" xfId="0" applyFont="1" applyFill="1" applyBorder="1" applyAlignment="1">
      <alignment horizontal="center"/>
    </xf>
    <xf numFmtId="0" fontId="27" fillId="42" borderId="43" xfId="0" applyFont="1" applyFill="1" applyBorder="1" applyAlignment="1">
      <alignment horizontal="center"/>
    </xf>
    <xf numFmtId="0" fontId="27" fillId="42" borderId="45" xfId="0" applyFont="1" applyFill="1" applyBorder="1" applyAlignment="1">
      <alignment horizontal="center"/>
    </xf>
    <xf numFmtId="0" fontId="27" fillId="42" borderId="48" xfId="0" applyFont="1" applyFill="1" applyBorder="1" applyAlignment="1">
      <alignment horizontal="center"/>
    </xf>
    <xf numFmtId="0" fontId="27" fillId="42" borderId="47" xfId="0" applyFont="1" applyFill="1" applyBorder="1" applyAlignment="1">
      <alignment horizontal="center"/>
    </xf>
    <xf numFmtId="0" fontId="27" fillId="42" borderId="34" xfId="0" applyFont="1" applyFill="1" applyBorder="1" applyAlignment="1">
      <alignment horizontal="center"/>
    </xf>
    <xf numFmtId="0" fontId="21" fillId="48" borderId="12" xfId="0" applyFont="1" applyFill="1" applyBorder="1" applyAlignment="1">
      <alignment horizontal="center"/>
    </xf>
    <xf numFmtId="0" fontId="21" fillId="48" borderId="24" xfId="0" applyFont="1" applyFill="1" applyBorder="1" applyAlignment="1">
      <alignment horizontal="center"/>
    </xf>
    <xf numFmtId="0" fontId="21" fillId="48" borderId="25" xfId="0" applyFont="1" applyFill="1" applyBorder="1" applyAlignment="1">
      <alignment horizontal="center"/>
    </xf>
    <xf numFmtId="0" fontId="21" fillId="48" borderId="15" xfId="0" applyFont="1" applyFill="1" applyBorder="1" applyAlignment="1">
      <alignment horizontal="center"/>
    </xf>
    <xf numFmtId="0" fontId="21" fillId="48" borderId="21" xfId="0" applyFont="1" applyFill="1" applyBorder="1" applyAlignment="1">
      <alignment horizontal="center"/>
    </xf>
    <xf numFmtId="0" fontId="21" fillId="48" borderId="22" xfId="0" applyFont="1" applyFill="1" applyBorder="1" applyAlignment="1">
      <alignment horizontal="center"/>
    </xf>
    <xf numFmtId="0" fontId="19" fillId="42" borderId="49" xfId="0" applyFont="1" applyFill="1" applyBorder="1" applyAlignment="1">
      <alignment horizontal="center"/>
    </xf>
    <xf numFmtId="0" fontId="19" fillId="42" borderId="54" xfId="0" applyFont="1" applyFill="1" applyBorder="1" applyAlignment="1">
      <alignment horizontal="center"/>
    </xf>
    <xf numFmtId="0" fontId="19" fillId="42" borderId="41" xfId="0" applyFont="1" applyFill="1" applyBorder="1" applyAlignment="1">
      <alignment horizontal="center"/>
    </xf>
    <xf numFmtId="0" fontId="5" fillId="47" borderId="15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47" borderId="22" xfId="0" applyFont="1" applyFill="1" applyBorder="1" applyAlignment="1">
      <alignment horizontal="center" vertical="center"/>
    </xf>
    <xf numFmtId="164" fontId="34" fillId="47" borderId="15" xfId="49" applyFont="1" applyFill="1" applyBorder="1" applyAlignment="1">
      <alignment horizontal="center"/>
    </xf>
    <xf numFmtId="164" fontId="34" fillId="47" borderId="21" xfId="49" applyFont="1" applyFill="1" applyBorder="1" applyAlignment="1">
      <alignment horizontal="center"/>
    </xf>
    <xf numFmtId="0" fontId="2" fillId="51" borderId="15" xfId="0" applyFont="1" applyFill="1" applyBorder="1" applyAlignment="1">
      <alignment horizontal="center"/>
    </xf>
    <xf numFmtId="0" fontId="2" fillId="51" borderId="21" xfId="0" applyFont="1" applyFill="1" applyBorder="1" applyAlignment="1">
      <alignment horizontal="center"/>
    </xf>
    <xf numFmtId="0" fontId="2" fillId="51" borderId="22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5" fillId="51" borderId="15" xfId="0" applyFont="1" applyFill="1" applyBorder="1" applyAlignment="1">
      <alignment horizontal="center" vertical="center"/>
    </xf>
    <xf numFmtId="0" fontId="5" fillId="51" borderId="21" xfId="0" applyFont="1" applyFill="1" applyBorder="1" applyAlignment="1">
      <alignment horizontal="center" vertical="center"/>
    </xf>
    <xf numFmtId="0" fontId="5" fillId="51" borderId="22" xfId="0" applyFont="1" applyFill="1" applyBorder="1" applyAlignment="1">
      <alignment horizontal="center" vertical="center"/>
    </xf>
    <xf numFmtId="0" fontId="2" fillId="47" borderId="15" xfId="0" applyFont="1" applyFill="1" applyBorder="1" applyAlignment="1">
      <alignment horizontal="center" vertical="center"/>
    </xf>
    <xf numFmtId="0" fontId="2" fillId="47" borderId="21" xfId="0" applyFont="1" applyFill="1" applyBorder="1" applyAlignment="1">
      <alignment horizontal="center" vertical="center"/>
    </xf>
    <xf numFmtId="0" fontId="2" fillId="47" borderId="22" xfId="0" applyFont="1" applyFill="1" applyBorder="1" applyAlignment="1">
      <alignment horizontal="center" vertical="center"/>
    </xf>
    <xf numFmtId="0" fontId="24" fillId="41" borderId="23" xfId="0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164" fontId="5" fillId="47" borderId="15" xfId="49" applyFont="1" applyFill="1" applyBorder="1" applyAlignment="1">
      <alignment horizontal="center"/>
    </xf>
    <xf numFmtId="164" fontId="5" fillId="47" borderId="21" xfId="49" applyFont="1" applyFill="1" applyBorder="1" applyAlignment="1">
      <alignment horizontal="center"/>
    </xf>
    <xf numFmtId="164" fontId="5" fillId="0" borderId="0" xfId="49" applyFont="1" applyBorder="1" applyAlignment="1">
      <alignment horizontal="center"/>
    </xf>
    <xf numFmtId="9" fontId="1" fillId="34" borderId="16" xfId="55" applyFont="1" applyFill="1" applyBorder="1" applyAlignment="1">
      <alignment horizontal="center" vertical="center"/>
    </xf>
    <xf numFmtId="0" fontId="18" fillId="39" borderId="12" xfId="0" applyFont="1" applyFill="1" applyBorder="1" applyAlignment="1">
      <alignment horizontal="center" vertical="center" wrapText="1"/>
    </xf>
    <xf numFmtId="0" fontId="18" fillId="39" borderId="24" xfId="0" applyFont="1" applyFill="1" applyBorder="1" applyAlignment="1">
      <alignment horizontal="center" vertical="center" wrapText="1"/>
    </xf>
    <xf numFmtId="0" fontId="18" fillId="39" borderId="25" xfId="0" applyFont="1" applyFill="1" applyBorder="1" applyAlignment="1">
      <alignment horizontal="center" vertical="center" wrapText="1"/>
    </xf>
    <xf numFmtId="0" fontId="18" fillId="39" borderId="20" xfId="0" applyFont="1" applyFill="1" applyBorder="1" applyAlignment="1">
      <alignment horizontal="center" vertical="center" wrapText="1"/>
    </xf>
    <xf numFmtId="0" fontId="18" fillId="39" borderId="0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0" fontId="18" fillId="39" borderId="15" xfId="0" applyFont="1" applyFill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0" fontId="18" fillId="39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" fontId="0" fillId="34" borderId="16" xfId="0" applyNumberFormat="1" applyFill="1" applyBorder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20" fillId="38" borderId="12" xfId="0" applyFont="1" applyFill="1" applyBorder="1" applyAlignment="1">
      <alignment horizontal="center"/>
    </xf>
    <xf numFmtId="0" fontId="20" fillId="38" borderId="24" xfId="0" applyFont="1" applyFill="1" applyBorder="1" applyAlignment="1">
      <alignment horizontal="center"/>
    </xf>
    <xf numFmtId="0" fontId="20" fillId="38" borderId="25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0" fontId="20" fillId="38" borderId="22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18" fillId="39" borderId="12" xfId="0" applyFont="1" applyFill="1" applyBorder="1" applyAlignment="1">
      <alignment horizontal="center"/>
    </xf>
    <xf numFmtId="0" fontId="18" fillId="39" borderId="24" xfId="0" applyFont="1" applyFill="1" applyBorder="1" applyAlignment="1">
      <alignment horizontal="center"/>
    </xf>
    <xf numFmtId="0" fontId="18" fillId="39" borderId="25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18" fillId="39" borderId="0" xfId="0" applyFont="1" applyFill="1" applyBorder="1" applyAlignment="1">
      <alignment horizontal="center"/>
    </xf>
    <xf numFmtId="0" fontId="18" fillId="39" borderId="19" xfId="0" applyFont="1" applyFill="1" applyBorder="1" applyAlignment="1">
      <alignment horizontal="center"/>
    </xf>
    <xf numFmtId="0" fontId="18" fillId="39" borderId="15" xfId="0" applyFont="1" applyFill="1" applyBorder="1" applyAlignment="1">
      <alignment horizontal="center"/>
    </xf>
    <xf numFmtId="0" fontId="18" fillId="39" borderId="21" xfId="0" applyFont="1" applyFill="1" applyBorder="1" applyAlignment="1">
      <alignment horizontal="center"/>
    </xf>
    <xf numFmtId="0" fontId="18" fillId="39" borderId="2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8" borderId="16" xfId="0" applyFill="1" applyBorder="1" applyAlignment="1">
      <alignment horizontal="center"/>
    </xf>
    <xf numFmtId="0" fontId="0" fillId="34" borderId="16" xfId="0" applyFill="1" applyBorder="1" applyAlignment="1">
      <alignment horizontal="center" vertical="center" wrapText="1"/>
    </xf>
    <xf numFmtId="3" fontId="0" fillId="48" borderId="18" xfId="0" applyNumberFormat="1" applyFill="1" applyBorder="1" applyAlignment="1">
      <alignment horizontal="center" vertical="center"/>
    </xf>
    <xf numFmtId="3" fontId="0" fillId="48" borderId="14" xfId="0" applyNumberFormat="1" applyFill="1" applyBorder="1" applyAlignment="1">
      <alignment horizontal="center" vertical="center"/>
    </xf>
    <xf numFmtId="0" fontId="18" fillId="39" borderId="12" xfId="0" applyFont="1" applyFill="1" applyBorder="1" applyAlignment="1">
      <alignment horizontal="center" wrapText="1"/>
    </xf>
    <xf numFmtId="0" fontId="18" fillId="39" borderId="24" xfId="0" applyFont="1" applyFill="1" applyBorder="1" applyAlignment="1">
      <alignment horizontal="center" wrapText="1"/>
    </xf>
    <xf numFmtId="0" fontId="18" fillId="39" borderId="25" xfId="0" applyFont="1" applyFill="1" applyBorder="1" applyAlignment="1">
      <alignment horizontal="center" wrapText="1"/>
    </xf>
    <xf numFmtId="0" fontId="18" fillId="39" borderId="20" xfId="0" applyFont="1" applyFill="1" applyBorder="1" applyAlignment="1">
      <alignment horizontal="center" wrapText="1"/>
    </xf>
    <xf numFmtId="0" fontId="18" fillId="39" borderId="0" xfId="0" applyFont="1" applyFill="1" applyBorder="1" applyAlignment="1">
      <alignment horizontal="center" wrapText="1"/>
    </xf>
    <xf numFmtId="0" fontId="18" fillId="39" borderId="19" xfId="0" applyFont="1" applyFill="1" applyBorder="1" applyAlignment="1">
      <alignment horizontal="center" wrapText="1"/>
    </xf>
    <xf numFmtId="0" fontId="18" fillId="39" borderId="15" xfId="0" applyFont="1" applyFill="1" applyBorder="1" applyAlignment="1">
      <alignment horizontal="center" wrapText="1"/>
    </xf>
    <xf numFmtId="0" fontId="18" fillId="39" borderId="21" xfId="0" applyFont="1" applyFill="1" applyBorder="1" applyAlignment="1">
      <alignment horizontal="center" wrapText="1"/>
    </xf>
    <xf numFmtId="0" fontId="18" fillId="39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28" fillId="51" borderId="10" xfId="55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16" fillId="48" borderId="49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2" fillId="50" borderId="10" xfId="53" applyFont="1" applyFill="1" applyBorder="1" applyAlignment="1">
      <alignment horizontal="center"/>
      <protection/>
    </xf>
    <xf numFmtId="0" fontId="22" fillId="50" borderId="13" xfId="53" applyFont="1" applyFill="1" applyBorder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32" fillId="42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32" fillId="43" borderId="51" xfId="0" applyFont="1" applyFill="1" applyBorder="1" applyAlignment="1">
      <alignment horizontal="center" wrapText="1"/>
    </xf>
    <xf numFmtId="0" fontId="0" fillId="41" borderId="51" xfId="0" applyFill="1" applyBorder="1" applyAlignment="1">
      <alignment horizontal="center" wrapText="1"/>
    </xf>
    <xf numFmtId="0" fontId="33" fillId="40" borderId="44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1" fillId="47" borderId="56" xfId="0" applyFont="1" applyFill="1" applyBorder="1" applyAlignment="1">
      <alignment horizontal="center"/>
    </xf>
    <xf numFmtId="0" fontId="21" fillId="47" borderId="43" xfId="0" applyFont="1" applyFill="1" applyBorder="1" applyAlignment="1">
      <alignment horizontal="center"/>
    </xf>
    <xf numFmtId="0" fontId="21" fillId="47" borderId="57" xfId="0" applyFont="1" applyFill="1" applyBorder="1" applyAlignment="1">
      <alignment horizontal="center"/>
    </xf>
    <xf numFmtId="0" fontId="21" fillId="47" borderId="15" xfId="0" applyFont="1" applyFill="1" applyBorder="1" applyAlignment="1">
      <alignment horizontal="center"/>
    </xf>
    <xf numFmtId="0" fontId="21" fillId="47" borderId="21" xfId="0" applyFont="1" applyFill="1" applyBorder="1" applyAlignment="1">
      <alignment horizontal="center"/>
    </xf>
    <xf numFmtId="0" fontId="21" fillId="47" borderId="22" xfId="0" applyFont="1" applyFill="1" applyBorder="1" applyAlignment="1">
      <alignment horizontal="center"/>
    </xf>
    <xf numFmtId="0" fontId="20" fillId="47" borderId="56" xfId="0" applyFont="1" applyFill="1" applyBorder="1" applyAlignment="1">
      <alignment horizontal="center"/>
    </xf>
    <xf numFmtId="0" fontId="20" fillId="47" borderId="43" xfId="0" applyFont="1" applyFill="1" applyBorder="1" applyAlignment="1">
      <alignment horizontal="center"/>
    </xf>
    <xf numFmtId="0" fontId="20" fillId="47" borderId="57" xfId="0" applyFont="1" applyFill="1" applyBorder="1" applyAlignment="1">
      <alignment horizontal="center"/>
    </xf>
    <xf numFmtId="0" fontId="20" fillId="47" borderId="15" xfId="0" applyFont="1" applyFill="1" applyBorder="1" applyAlignment="1">
      <alignment horizontal="center"/>
    </xf>
    <xf numFmtId="0" fontId="20" fillId="47" borderId="21" xfId="0" applyFont="1" applyFill="1" applyBorder="1" applyAlignment="1">
      <alignment horizontal="center"/>
    </xf>
    <xf numFmtId="0" fontId="20" fillId="47" borderId="22" xfId="0" applyFont="1" applyFill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64" fontId="5" fillId="0" borderId="21" xfId="49" applyFont="1" applyBorder="1" applyAlignment="1">
      <alignment horizontal="center"/>
    </xf>
    <xf numFmtId="164" fontId="5" fillId="0" borderId="22" xfId="49" applyFont="1" applyBorder="1" applyAlignment="1">
      <alignment horizontal="center"/>
    </xf>
    <xf numFmtId="164" fontId="5" fillId="0" borderId="15" xfId="49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30" fillId="0" borderId="38" xfId="0" applyFont="1" applyBorder="1" applyAlignment="1">
      <alignment vertical="top" wrapText="1" shrinkToFit="1"/>
    </xf>
    <xf numFmtId="0" fontId="30" fillId="0" borderId="39" xfId="0" applyFont="1" applyBorder="1" applyAlignment="1">
      <alignment vertical="top" wrapText="1" shrinkToFit="1"/>
    </xf>
    <xf numFmtId="0" fontId="30" fillId="0" borderId="38" xfId="0" applyFont="1" applyBorder="1" applyAlignment="1">
      <alignment horizontal="center" vertical="top" wrapText="1" shrinkToFit="1"/>
    </xf>
    <xf numFmtId="0" fontId="30" fillId="0" borderId="39" xfId="0" applyFont="1" applyBorder="1" applyAlignment="1">
      <alignment horizontal="center" vertical="top" wrapText="1" shrinkToFit="1"/>
    </xf>
    <xf numFmtId="0" fontId="30" fillId="0" borderId="40" xfId="0" applyFont="1" applyBorder="1" applyAlignment="1">
      <alignment horizontal="center" vertical="top" wrapText="1" shrinkToFit="1"/>
    </xf>
    <xf numFmtId="4" fontId="0" fillId="0" borderId="0" xfId="0" applyNumberFormat="1" applyAlignment="1">
      <alignment horizontal="center" wrapText="1"/>
    </xf>
    <xf numFmtId="0" fontId="0" fillId="0" borderId="49" xfId="0" applyBorder="1" applyAlignment="1">
      <alignment horizontal="center" vertical="top" shrinkToFit="1"/>
    </xf>
    <xf numFmtId="0" fontId="0" fillId="0" borderId="54" xfId="0" applyBorder="1" applyAlignment="1">
      <alignment horizontal="center" vertical="top" shrinkToFit="1"/>
    </xf>
    <xf numFmtId="0" fontId="0" fillId="0" borderId="41" xfId="0" applyBorder="1" applyAlignment="1">
      <alignment horizontal="center" vertical="top" shrinkToFit="1"/>
    </xf>
    <xf numFmtId="4" fontId="0" fillId="0" borderId="49" xfId="0" applyNumberFormat="1" applyBorder="1" applyAlignment="1">
      <alignment horizontal="center" vertical="top" shrinkToFit="1"/>
    </xf>
    <xf numFmtId="4" fontId="0" fillId="0" borderId="54" xfId="0" applyNumberFormat="1" applyBorder="1" applyAlignment="1">
      <alignment horizontal="center" vertical="top" shrinkToFit="1"/>
    </xf>
    <xf numFmtId="4" fontId="0" fillId="0" borderId="41" xfId="0" applyNumberFormat="1" applyBorder="1" applyAlignment="1">
      <alignment horizontal="center" vertical="top" shrinkToFit="1"/>
    </xf>
    <xf numFmtId="0" fontId="30" fillId="0" borderId="38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38" xfId="0" applyFont="1" applyBorder="1" applyAlignment="1">
      <alignment vertical="top" wrapText="1"/>
    </xf>
    <xf numFmtId="0" fontId="30" fillId="0" borderId="40" xfId="0" applyFont="1" applyBorder="1" applyAlignment="1">
      <alignment vertical="top" wrapText="1"/>
    </xf>
    <xf numFmtId="0" fontId="30" fillId="0" borderId="40" xfId="0" applyFont="1" applyBorder="1" applyAlignment="1">
      <alignment vertical="top" wrapText="1" shrinkToFit="1"/>
    </xf>
    <xf numFmtId="7" fontId="0" fillId="0" borderId="0" xfId="0" applyNumberFormat="1" applyAlignment="1">
      <alignment vertical="center" wrapText="1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1" fillId="56" borderId="44" xfId="0" applyFont="1" applyFill="1" applyBorder="1" applyAlignment="1">
      <alignment horizontal="center"/>
    </xf>
    <xf numFmtId="0" fontId="21" fillId="56" borderId="43" xfId="0" applyFont="1" applyFill="1" applyBorder="1" applyAlignment="1">
      <alignment horizontal="center"/>
    </xf>
    <xf numFmtId="0" fontId="21" fillId="56" borderId="45" xfId="0" applyFont="1" applyFill="1" applyBorder="1" applyAlignment="1">
      <alignment horizontal="center"/>
    </xf>
    <xf numFmtId="0" fontId="21" fillId="56" borderId="48" xfId="0" applyFont="1" applyFill="1" applyBorder="1" applyAlignment="1">
      <alignment horizontal="center"/>
    </xf>
    <xf numFmtId="0" fontId="21" fillId="56" borderId="47" xfId="0" applyFont="1" applyFill="1" applyBorder="1" applyAlignment="1">
      <alignment horizontal="center"/>
    </xf>
    <xf numFmtId="0" fontId="21" fillId="56" borderId="3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8" fillId="57" borderId="49" xfId="0" applyFont="1" applyFill="1" applyBorder="1" applyAlignment="1">
      <alignment horizontal="center"/>
    </xf>
    <xf numFmtId="0" fontId="28" fillId="57" borderId="54" xfId="0" applyFont="1" applyFill="1" applyBorder="1" applyAlignment="1">
      <alignment horizontal="center"/>
    </xf>
    <xf numFmtId="0" fontId="28" fillId="57" borderId="4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4" fontId="3" fillId="0" borderId="38" xfId="0" applyNumberFormat="1" applyFont="1" applyFill="1" applyBorder="1" applyAlignment="1">
      <alignment horizontal="center" vertical="top" wrapText="1"/>
    </xf>
    <xf numFmtId="4" fontId="3" fillId="0" borderId="39" xfId="0" applyNumberFormat="1" applyFont="1" applyFill="1" applyBorder="1" applyAlignment="1">
      <alignment horizontal="center" vertical="top" wrapText="1"/>
    </xf>
    <xf numFmtId="4" fontId="3" fillId="0" borderId="40" xfId="0" applyNumberFormat="1" applyFont="1" applyFill="1" applyBorder="1" applyAlignment="1">
      <alignment horizontal="center" vertical="top" wrapText="1"/>
    </xf>
    <xf numFmtId="4" fontId="6" fillId="0" borderId="38" xfId="0" applyNumberFormat="1" applyFont="1" applyFill="1" applyBorder="1" applyAlignment="1">
      <alignment horizontal="center" vertical="top" wrapText="1"/>
    </xf>
    <xf numFmtId="4" fontId="6" fillId="0" borderId="39" xfId="0" applyNumberFormat="1" applyFont="1" applyFill="1" applyBorder="1" applyAlignment="1">
      <alignment horizontal="center" vertical="top" wrapText="1"/>
    </xf>
    <xf numFmtId="4" fontId="6" fillId="0" borderId="4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0" fontId="24" fillId="0" borderId="49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7" fontId="0" fillId="0" borderId="0" xfId="0" applyNumberFormat="1" applyAlignment="1">
      <alignment horizontal="center" wrapText="1"/>
    </xf>
    <xf numFmtId="7" fontId="0" fillId="0" borderId="24" xfId="0" applyNumberForma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43</xdr:row>
      <xdr:rowOff>47625</xdr:rowOff>
    </xdr:from>
    <xdr:to>
      <xdr:col>11</xdr:col>
      <xdr:colOff>180975</xdr:colOff>
      <xdr:row>45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620500" y="9610725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885825</xdr:colOff>
      <xdr:row>11</xdr:row>
      <xdr:rowOff>19050</xdr:rowOff>
    </xdr:from>
    <xdr:to>
      <xdr:col>11</xdr:col>
      <xdr:colOff>142875</xdr:colOff>
      <xdr:row>12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11534775" y="2171700"/>
          <a:ext cx="2095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19050</xdr:rowOff>
    </xdr:from>
    <xdr:to>
      <xdr:col>11</xdr:col>
      <xdr:colOff>152400</xdr:colOff>
      <xdr:row>48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11601450" y="10382250"/>
          <a:ext cx="1524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904875</xdr:colOff>
      <xdr:row>15</xdr:row>
      <xdr:rowOff>19050</xdr:rowOff>
    </xdr:from>
    <xdr:to>
      <xdr:col>11</xdr:col>
      <xdr:colOff>161925</xdr:colOff>
      <xdr:row>16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11553825" y="2971800"/>
          <a:ext cx="2095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971550</xdr:colOff>
      <xdr:row>43</xdr:row>
      <xdr:rowOff>28575</xdr:rowOff>
    </xdr:from>
    <xdr:to>
      <xdr:col>11</xdr:col>
      <xdr:colOff>66675</xdr:colOff>
      <xdr:row>44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753850" y="9486900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923925</xdr:colOff>
      <xdr:row>11</xdr:row>
      <xdr:rowOff>19050</xdr:rowOff>
    </xdr:from>
    <xdr:to>
      <xdr:col>11</xdr:col>
      <xdr:colOff>47625</xdr:colOff>
      <xdr:row>12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706225" y="2171700"/>
          <a:ext cx="1905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15</xdr:row>
      <xdr:rowOff>28575</xdr:rowOff>
    </xdr:from>
    <xdr:to>
      <xdr:col>11</xdr:col>
      <xdr:colOff>66675</xdr:colOff>
      <xdr:row>16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1753850" y="2981325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47</xdr:row>
      <xdr:rowOff>0</xdr:rowOff>
    </xdr:from>
    <xdr:to>
      <xdr:col>11</xdr:col>
      <xdr:colOff>66675</xdr:colOff>
      <xdr:row>48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753850" y="1025842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971550</xdr:colOff>
      <xdr:row>43</xdr:row>
      <xdr:rowOff>28575</xdr:rowOff>
    </xdr:from>
    <xdr:to>
      <xdr:col>11</xdr:col>
      <xdr:colOff>66675</xdr:colOff>
      <xdr:row>44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753850" y="9486900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923925</xdr:colOff>
      <xdr:row>11</xdr:row>
      <xdr:rowOff>19050</xdr:rowOff>
    </xdr:from>
    <xdr:to>
      <xdr:col>11</xdr:col>
      <xdr:colOff>47625</xdr:colOff>
      <xdr:row>12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706225" y="2171700"/>
          <a:ext cx="1905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15</xdr:row>
      <xdr:rowOff>28575</xdr:rowOff>
    </xdr:from>
    <xdr:to>
      <xdr:col>11</xdr:col>
      <xdr:colOff>66675</xdr:colOff>
      <xdr:row>16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1753850" y="2981325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47</xdr:row>
      <xdr:rowOff>0</xdr:rowOff>
    </xdr:from>
    <xdr:to>
      <xdr:col>11</xdr:col>
      <xdr:colOff>66675</xdr:colOff>
      <xdr:row>48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753850" y="1025842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971550</xdr:colOff>
      <xdr:row>43</xdr:row>
      <xdr:rowOff>28575</xdr:rowOff>
    </xdr:from>
    <xdr:to>
      <xdr:col>11</xdr:col>
      <xdr:colOff>66675</xdr:colOff>
      <xdr:row>44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753850" y="9486900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923925</xdr:colOff>
      <xdr:row>11</xdr:row>
      <xdr:rowOff>19050</xdr:rowOff>
    </xdr:from>
    <xdr:to>
      <xdr:col>11</xdr:col>
      <xdr:colOff>47625</xdr:colOff>
      <xdr:row>12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706225" y="2171700"/>
          <a:ext cx="1905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15</xdr:row>
      <xdr:rowOff>28575</xdr:rowOff>
    </xdr:from>
    <xdr:to>
      <xdr:col>11</xdr:col>
      <xdr:colOff>66675</xdr:colOff>
      <xdr:row>16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1753850" y="2981325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47</xdr:row>
      <xdr:rowOff>0</xdr:rowOff>
    </xdr:from>
    <xdr:to>
      <xdr:col>11</xdr:col>
      <xdr:colOff>66675</xdr:colOff>
      <xdr:row>48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753850" y="1025842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971550</xdr:colOff>
      <xdr:row>43</xdr:row>
      <xdr:rowOff>28575</xdr:rowOff>
    </xdr:from>
    <xdr:to>
      <xdr:col>11</xdr:col>
      <xdr:colOff>66675</xdr:colOff>
      <xdr:row>44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772900" y="9486900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923925</xdr:colOff>
      <xdr:row>11</xdr:row>
      <xdr:rowOff>19050</xdr:rowOff>
    </xdr:from>
    <xdr:to>
      <xdr:col>11</xdr:col>
      <xdr:colOff>47625</xdr:colOff>
      <xdr:row>12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725275" y="2171700"/>
          <a:ext cx="1905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15</xdr:row>
      <xdr:rowOff>28575</xdr:rowOff>
    </xdr:from>
    <xdr:to>
      <xdr:col>11</xdr:col>
      <xdr:colOff>66675</xdr:colOff>
      <xdr:row>16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1772900" y="2981325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1019175</xdr:colOff>
      <xdr:row>47</xdr:row>
      <xdr:rowOff>0</xdr:rowOff>
    </xdr:from>
    <xdr:to>
      <xdr:col>11</xdr:col>
      <xdr:colOff>114300</xdr:colOff>
      <xdr:row>48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820525" y="1025842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971550</xdr:colOff>
      <xdr:row>43</xdr:row>
      <xdr:rowOff>28575</xdr:rowOff>
    </xdr:from>
    <xdr:to>
      <xdr:col>11</xdr:col>
      <xdr:colOff>66675</xdr:colOff>
      <xdr:row>44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820525" y="9486900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923925</xdr:colOff>
      <xdr:row>11</xdr:row>
      <xdr:rowOff>19050</xdr:rowOff>
    </xdr:from>
    <xdr:to>
      <xdr:col>11</xdr:col>
      <xdr:colOff>47625</xdr:colOff>
      <xdr:row>12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772900" y="2171700"/>
          <a:ext cx="1905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15</xdr:row>
      <xdr:rowOff>28575</xdr:rowOff>
    </xdr:from>
    <xdr:to>
      <xdr:col>11</xdr:col>
      <xdr:colOff>66675</xdr:colOff>
      <xdr:row>16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1820525" y="2981325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971550</xdr:colOff>
      <xdr:row>47</xdr:row>
      <xdr:rowOff>0</xdr:rowOff>
    </xdr:from>
    <xdr:to>
      <xdr:col>11</xdr:col>
      <xdr:colOff>66675</xdr:colOff>
      <xdr:row>48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820525" y="1025842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971550</xdr:colOff>
      <xdr:row>43</xdr:row>
      <xdr:rowOff>28575</xdr:rowOff>
    </xdr:from>
    <xdr:to>
      <xdr:col>11</xdr:col>
      <xdr:colOff>66675</xdr:colOff>
      <xdr:row>44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896725" y="9572625"/>
          <a:ext cx="1619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923925</xdr:colOff>
      <xdr:row>11</xdr:row>
      <xdr:rowOff>19050</xdr:rowOff>
    </xdr:from>
    <xdr:to>
      <xdr:col>11</xdr:col>
      <xdr:colOff>47625</xdr:colOff>
      <xdr:row>12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849100" y="2171700"/>
          <a:ext cx="1905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60</xdr:row>
      <xdr:rowOff>57150</xdr:rowOff>
    </xdr:from>
    <xdr:to>
      <xdr:col>13</xdr:col>
      <xdr:colOff>314325</xdr:colOff>
      <xdr:row>62</xdr:row>
      <xdr:rowOff>0</xdr:rowOff>
    </xdr:to>
    <xdr:sp>
      <xdr:nvSpPr>
        <xdr:cNvPr id="1" name="WordArt 1"/>
        <xdr:cNvSpPr>
          <a:spLocks/>
        </xdr:cNvSpPr>
      </xdr:nvSpPr>
      <xdr:spPr>
        <a:xfrm>
          <a:off x="13001625" y="13496925"/>
          <a:ext cx="1076325" cy="3810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VER  CON OCT.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61</xdr:row>
      <xdr:rowOff>161925</xdr:rowOff>
    </xdr:from>
    <xdr:to>
      <xdr:col>13</xdr:col>
      <xdr:colOff>752475</xdr:colOff>
      <xdr:row>63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13439775" y="13839825"/>
          <a:ext cx="1076325" cy="3810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VER  CON SEPT.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39"/>
  <sheetViews>
    <sheetView tabSelected="1" zoomScale="75" zoomScaleNormal="75" zoomScalePageLayoutView="0" workbookViewId="0" topLeftCell="A1">
      <selection activeCell="G12" sqref="G12"/>
    </sheetView>
  </sheetViews>
  <sheetFormatPr defaultColWidth="11.421875" defaultRowHeight="15"/>
  <cols>
    <col min="1" max="1" width="11.7109375" style="0" bestFit="1" customWidth="1"/>
    <col min="2" max="2" width="14.00390625" style="0" customWidth="1"/>
    <col min="3" max="3" width="18.8515625" style="0" customWidth="1"/>
    <col min="4" max="4" width="15.57421875" style="0" customWidth="1"/>
    <col min="5" max="5" width="14.8515625" style="0" customWidth="1"/>
    <col min="6" max="6" width="16.421875" style="0" customWidth="1"/>
    <col min="7" max="7" width="14.28125" style="0" customWidth="1"/>
    <col min="8" max="8" width="13.7109375" style="0" customWidth="1"/>
    <col min="9" max="9" width="13.8515625" style="0" customWidth="1"/>
    <col min="10" max="10" width="13.57421875" style="0" customWidth="1"/>
    <col min="11" max="11" width="14.140625" style="0" customWidth="1"/>
    <col min="12" max="12" width="13.8515625" style="0" customWidth="1"/>
    <col min="13" max="13" width="16.421875" style="0" customWidth="1"/>
    <col min="14" max="14" width="14.28125" style="0" customWidth="1"/>
    <col min="15" max="15" width="17.00390625" style="0" customWidth="1"/>
    <col min="16" max="16" width="16.140625" style="0" customWidth="1"/>
    <col min="17" max="17" width="14.7109375" style="0" customWidth="1"/>
    <col min="18" max="18" width="14.140625" style="0" bestFit="1" customWidth="1"/>
    <col min="19" max="19" width="13.57421875" style="0" customWidth="1"/>
    <col min="20" max="20" width="18.00390625" style="0" customWidth="1"/>
    <col min="21" max="21" width="21.28125" style="0" customWidth="1"/>
    <col min="23" max="23" width="12.7109375" style="0" bestFit="1" customWidth="1"/>
    <col min="24" max="24" width="13.7109375" style="0" customWidth="1"/>
    <col min="25" max="25" width="15.28125" style="0" customWidth="1"/>
    <col min="26" max="26" width="13.8515625" style="0" customWidth="1"/>
    <col min="27" max="27" width="14.8515625" style="0" customWidth="1"/>
    <col min="28" max="28" width="16.00390625" style="0" customWidth="1"/>
    <col min="29" max="29" width="14.57421875" style="0" customWidth="1"/>
    <col min="30" max="30" width="13.28125" style="0" customWidth="1"/>
    <col min="31" max="31" width="12.57421875" style="0" customWidth="1"/>
    <col min="32" max="32" width="12.7109375" style="0" bestFit="1" customWidth="1"/>
    <col min="33" max="33" width="15.421875" style="0" customWidth="1"/>
    <col min="34" max="34" width="17.00390625" style="0" customWidth="1"/>
    <col min="35" max="35" width="13.28125" style="0" customWidth="1"/>
    <col min="36" max="37" width="18.7109375" style="0" customWidth="1"/>
    <col min="38" max="38" width="13.8515625" style="0" customWidth="1"/>
    <col min="39" max="39" width="15.57421875" style="0" customWidth="1"/>
    <col min="40" max="40" width="18.57421875" style="0" customWidth="1"/>
    <col min="41" max="41" width="14.28125" style="0" customWidth="1"/>
    <col min="42" max="42" width="14.140625" style="0" customWidth="1"/>
    <col min="43" max="43" width="15.28125" style="0" customWidth="1"/>
    <col min="44" max="44" width="19.7109375" style="0" customWidth="1"/>
    <col min="45" max="45" width="28.140625" style="0" customWidth="1"/>
    <col min="46" max="46" width="16.8515625" style="0" customWidth="1"/>
    <col min="47" max="47" width="18.57421875" style="0" customWidth="1"/>
    <col min="48" max="48" width="16.28125" style="0" customWidth="1"/>
    <col min="49" max="49" width="18.421875" style="0" customWidth="1"/>
    <col min="50" max="50" width="17.57421875" style="0" customWidth="1"/>
    <col min="51" max="51" width="17.140625" style="0" customWidth="1"/>
    <col min="52" max="52" width="17.28125" style="0" customWidth="1"/>
    <col min="55" max="55" width="17.7109375" style="0" customWidth="1"/>
    <col min="56" max="56" width="12.57421875" style="0" customWidth="1"/>
    <col min="57" max="57" width="13.57421875" style="0" customWidth="1"/>
    <col min="58" max="58" width="12.7109375" style="0" customWidth="1"/>
  </cols>
  <sheetData>
    <row r="1" ht="15.75" thickBot="1"/>
    <row r="2" spans="2:43" ht="15" customHeight="1">
      <c r="B2" s="827" t="s">
        <v>28</v>
      </c>
      <c r="C2" s="828"/>
      <c r="D2" s="828"/>
      <c r="E2" s="828"/>
      <c r="F2" s="828"/>
      <c r="G2" s="829"/>
      <c r="L2" s="821" t="s">
        <v>227</v>
      </c>
      <c r="M2" s="822"/>
      <c r="N2" s="822"/>
      <c r="O2" s="822"/>
      <c r="P2" s="822"/>
      <c r="Q2" s="822"/>
      <c r="R2" s="822"/>
      <c r="S2" s="822"/>
      <c r="T2" s="822"/>
      <c r="U2" s="823"/>
      <c r="W2" s="815" t="s">
        <v>222</v>
      </c>
      <c r="X2" s="816"/>
      <c r="Y2" s="816"/>
      <c r="Z2" s="816"/>
      <c r="AA2" s="816"/>
      <c r="AB2" s="816"/>
      <c r="AC2" s="816"/>
      <c r="AD2" s="816"/>
      <c r="AE2" s="816"/>
      <c r="AF2" s="817"/>
      <c r="AH2" s="809" t="s">
        <v>223</v>
      </c>
      <c r="AI2" s="810"/>
      <c r="AJ2" s="810"/>
      <c r="AK2" s="810"/>
      <c r="AL2" s="810"/>
      <c r="AM2" s="810"/>
      <c r="AN2" s="810"/>
      <c r="AO2" s="810"/>
      <c r="AP2" s="810"/>
      <c r="AQ2" s="811"/>
    </row>
    <row r="3" spans="2:43" ht="15.75" customHeight="1" thickBot="1">
      <c r="B3" s="830"/>
      <c r="C3" s="831"/>
      <c r="D3" s="831"/>
      <c r="E3" s="831"/>
      <c r="F3" s="831"/>
      <c r="G3" s="832"/>
      <c r="L3" s="824"/>
      <c r="M3" s="825"/>
      <c r="N3" s="825"/>
      <c r="O3" s="825"/>
      <c r="P3" s="825"/>
      <c r="Q3" s="825"/>
      <c r="R3" s="825"/>
      <c r="S3" s="825"/>
      <c r="T3" s="825"/>
      <c r="U3" s="826"/>
      <c r="W3" s="818"/>
      <c r="X3" s="819"/>
      <c r="Y3" s="819"/>
      <c r="Z3" s="819"/>
      <c r="AA3" s="819"/>
      <c r="AB3" s="819"/>
      <c r="AC3" s="819"/>
      <c r="AD3" s="819"/>
      <c r="AE3" s="819"/>
      <c r="AF3" s="820"/>
      <c r="AH3" s="812"/>
      <c r="AI3" s="813"/>
      <c r="AJ3" s="813"/>
      <c r="AK3" s="813"/>
      <c r="AL3" s="813"/>
      <c r="AM3" s="813"/>
      <c r="AN3" s="813"/>
      <c r="AO3" s="813"/>
      <c r="AP3" s="813"/>
      <c r="AQ3" s="814"/>
    </row>
    <row r="4" spans="1:43" ht="15" customHeight="1">
      <c r="A4" s="1"/>
      <c r="B4" s="910" t="s">
        <v>0</v>
      </c>
      <c r="C4" s="911"/>
      <c r="D4" s="910" t="s">
        <v>0</v>
      </c>
      <c r="E4" s="911"/>
      <c r="F4" s="910" t="s">
        <v>0</v>
      </c>
      <c r="G4" s="911"/>
      <c r="H4" s="1"/>
      <c r="I4" s="1"/>
      <c r="J4" s="294"/>
      <c r="L4" s="947" t="s">
        <v>224</v>
      </c>
      <c r="M4" s="948"/>
      <c r="N4" s="948"/>
      <c r="O4" s="948"/>
      <c r="P4" s="948"/>
      <c r="Q4" s="948"/>
      <c r="R4" s="948"/>
      <c r="S4" s="948"/>
      <c r="T4" s="948"/>
      <c r="U4" s="949"/>
      <c r="W4" s="941" t="s">
        <v>224</v>
      </c>
      <c r="X4" s="942"/>
      <c r="Y4" s="942"/>
      <c r="Z4" s="942"/>
      <c r="AA4" s="942"/>
      <c r="AB4" s="942"/>
      <c r="AC4" s="942"/>
      <c r="AD4" s="942"/>
      <c r="AE4" s="942"/>
      <c r="AF4" s="943"/>
      <c r="AH4" s="941" t="s">
        <v>224</v>
      </c>
      <c r="AI4" s="942"/>
      <c r="AJ4" s="942"/>
      <c r="AK4" s="942"/>
      <c r="AL4" s="942"/>
      <c r="AM4" s="942"/>
      <c r="AN4" s="942"/>
      <c r="AO4" s="942"/>
      <c r="AP4" s="942"/>
      <c r="AQ4" s="943"/>
    </row>
    <row r="5" spans="1:43" ht="15" customHeight="1">
      <c r="A5" s="1"/>
      <c r="B5" s="2"/>
      <c r="C5" s="2">
        <v>37.97701457278818</v>
      </c>
      <c r="D5" s="3"/>
      <c r="E5" s="4">
        <v>62.02298542721182</v>
      </c>
      <c r="F5" s="3"/>
      <c r="G5" s="4">
        <v>100</v>
      </c>
      <c r="H5" s="1"/>
      <c r="I5" s="1"/>
      <c r="J5" s="1"/>
      <c r="L5" s="950"/>
      <c r="M5" s="951"/>
      <c r="N5" s="951"/>
      <c r="O5" s="951"/>
      <c r="P5" s="951"/>
      <c r="Q5" s="951"/>
      <c r="R5" s="951"/>
      <c r="S5" s="951"/>
      <c r="T5" s="951"/>
      <c r="U5" s="952"/>
      <c r="W5" s="944"/>
      <c r="X5" s="945"/>
      <c r="Y5" s="945"/>
      <c r="Z5" s="945"/>
      <c r="AA5" s="945"/>
      <c r="AB5" s="945"/>
      <c r="AC5" s="945"/>
      <c r="AD5" s="945"/>
      <c r="AE5" s="945"/>
      <c r="AF5" s="946"/>
      <c r="AH5" s="944"/>
      <c r="AI5" s="945"/>
      <c r="AJ5" s="945"/>
      <c r="AK5" s="945"/>
      <c r="AL5" s="945"/>
      <c r="AM5" s="945"/>
      <c r="AN5" s="945"/>
      <c r="AO5" s="945"/>
      <c r="AP5" s="945"/>
      <c r="AQ5" s="946"/>
    </row>
    <row r="6" spans="1:43" ht="15.75" thickBot="1">
      <c r="A6" s="5"/>
      <c r="B6" s="6" t="s">
        <v>1</v>
      </c>
      <c r="C6" s="7"/>
      <c r="D6" s="8" t="s">
        <v>2</v>
      </c>
      <c r="E6" s="9"/>
      <c r="F6" s="8" t="s">
        <v>3</v>
      </c>
      <c r="G6" s="10"/>
      <c r="H6" s="938" t="s">
        <v>4</v>
      </c>
      <c r="I6" s="939"/>
      <c r="J6" s="940"/>
      <c r="L6" s="955" t="s">
        <v>86</v>
      </c>
      <c r="M6" s="204">
        <v>1</v>
      </c>
      <c r="N6" s="249">
        <v>2</v>
      </c>
      <c r="O6" s="249" t="s">
        <v>87</v>
      </c>
      <c r="P6" s="249">
        <v>4</v>
      </c>
      <c r="Q6" s="249" t="s">
        <v>88</v>
      </c>
      <c r="R6" s="249">
        <v>6</v>
      </c>
      <c r="S6" s="250" t="s">
        <v>89</v>
      </c>
      <c r="T6" s="251"/>
      <c r="U6" s="252"/>
      <c r="W6" s="955" t="s">
        <v>86</v>
      </c>
      <c r="X6" s="204">
        <v>1</v>
      </c>
      <c r="Y6" s="249">
        <v>2</v>
      </c>
      <c r="Z6" s="249" t="s">
        <v>87</v>
      </c>
      <c r="AA6" s="249">
        <v>4</v>
      </c>
      <c r="AB6" s="249" t="s">
        <v>88</v>
      </c>
      <c r="AC6" s="249">
        <v>6</v>
      </c>
      <c r="AD6" s="250" t="s">
        <v>89</v>
      </c>
      <c r="AE6" s="251"/>
      <c r="AF6" s="252"/>
      <c r="AH6" s="955" t="s">
        <v>86</v>
      </c>
      <c r="AI6" s="204">
        <v>1</v>
      </c>
      <c r="AJ6" s="249">
        <v>2</v>
      </c>
      <c r="AK6" s="249" t="s">
        <v>87</v>
      </c>
      <c r="AL6" s="249">
        <v>4</v>
      </c>
      <c r="AM6" s="249" t="s">
        <v>88</v>
      </c>
      <c r="AN6" s="249">
        <v>6</v>
      </c>
      <c r="AO6" s="250" t="s">
        <v>89</v>
      </c>
      <c r="AP6" s="251"/>
      <c r="AQ6" s="252"/>
    </row>
    <row r="7" spans="1:43" ht="76.5">
      <c r="A7" s="11" t="s">
        <v>5</v>
      </c>
      <c r="B7" s="11" t="s">
        <v>6</v>
      </c>
      <c r="C7" s="12" t="s">
        <v>7</v>
      </c>
      <c r="D7" s="13" t="s">
        <v>6</v>
      </c>
      <c r="E7" s="13" t="s">
        <v>7</v>
      </c>
      <c r="F7" s="13" t="s">
        <v>6</v>
      </c>
      <c r="G7" s="8" t="s">
        <v>7</v>
      </c>
      <c r="H7" s="13" t="s">
        <v>8</v>
      </c>
      <c r="I7" s="13" t="s">
        <v>9</v>
      </c>
      <c r="J7" s="13" t="s">
        <v>10</v>
      </c>
      <c r="L7" s="956"/>
      <c r="M7" s="90" t="s">
        <v>90</v>
      </c>
      <c r="N7" s="90" t="s">
        <v>91</v>
      </c>
      <c r="O7" s="90" t="s">
        <v>92</v>
      </c>
      <c r="P7" s="222" t="s">
        <v>93</v>
      </c>
      <c r="Q7" s="90" t="s">
        <v>94</v>
      </c>
      <c r="R7" s="220" t="s">
        <v>95</v>
      </c>
      <c r="S7" s="221" t="s">
        <v>96</v>
      </c>
      <c r="T7" s="223" t="s">
        <v>133</v>
      </c>
      <c r="U7" s="226" t="s">
        <v>134</v>
      </c>
      <c r="W7" s="956"/>
      <c r="X7" s="90" t="s">
        <v>90</v>
      </c>
      <c r="Y7" s="90" t="s">
        <v>91</v>
      </c>
      <c r="Z7" s="90" t="s">
        <v>92</v>
      </c>
      <c r="AA7" s="222" t="s">
        <v>93</v>
      </c>
      <c r="AB7" s="90" t="s">
        <v>94</v>
      </c>
      <c r="AC7" s="730" t="s">
        <v>95</v>
      </c>
      <c r="AD7" s="221" t="s">
        <v>96</v>
      </c>
      <c r="AE7" s="223" t="s">
        <v>133</v>
      </c>
      <c r="AF7" s="226" t="s">
        <v>134</v>
      </c>
      <c r="AH7" s="956"/>
      <c r="AI7" s="90" t="s">
        <v>90</v>
      </c>
      <c r="AJ7" s="90" t="s">
        <v>91</v>
      </c>
      <c r="AK7" s="90" t="s">
        <v>92</v>
      </c>
      <c r="AL7" s="729" t="s">
        <v>93</v>
      </c>
      <c r="AM7" s="90" t="s">
        <v>94</v>
      </c>
      <c r="AN7" s="730" t="s">
        <v>95</v>
      </c>
      <c r="AO7" s="221" t="s">
        <v>96</v>
      </c>
      <c r="AP7" s="223" t="s">
        <v>133</v>
      </c>
      <c r="AQ7" s="226" t="s">
        <v>134</v>
      </c>
    </row>
    <row r="8" spans="1:43" ht="15">
      <c r="A8" s="14" t="s">
        <v>11</v>
      </c>
      <c r="B8" s="15">
        <v>195985</v>
      </c>
      <c r="C8" s="16">
        <v>470785.54500000004</v>
      </c>
      <c r="D8" s="17">
        <v>264710</v>
      </c>
      <c r="E8" s="18">
        <v>621027.81</v>
      </c>
      <c r="F8" s="19">
        <v>460695</v>
      </c>
      <c r="G8" s="20">
        <v>1091813.355</v>
      </c>
      <c r="H8" s="59">
        <v>3.9163</v>
      </c>
      <c r="I8" s="59">
        <v>3.9</v>
      </c>
      <c r="J8" s="63">
        <v>3.9061902533753647</v>
      </c>
      <c r="K8" s="293"/>
      <c r="L8" s="92">
        <v>40909</v>
      </c>
      <c r="M8" s="279">
        <v>1077749.2566666666</v>
      </c>
      <c r="N8" s="97">
        <v>1.168362837994227</v>
      </c>
      <c r="O8" s="279">
        <v>1259202.1801652352</v>
      </c>
      <c r="P8" s="630">
        <v>1172894.0999999999</v>
      </c>
      <c r="Q8" s="637">
        <v>-0.06854187637596831</v>
      </c>
      <c r="R8" s="282">
        <v>1172894.0999999999</v>
      </c>
      <c r="S8" s="285">
        <v>0</v>
      </c>
      <c r="T8" s="224">
        <v>1013692.4400000001</v>
      </c>
      <c r="U8" s="227">
        <v>159201.6599999998</v>
      </c>
      <c r="W8" s="92">
        <v>40909</v>
      </c>
      <c r="X8" s="458">
        <v>433811.6066666667</v>
      </c>
      <c r="Y8" s="460">
        <v>1.1626219247018579</v>
      </c>
      <c r="Z8" s="279">
        <v>504358.8851008053</v>
      </c>
      <c r="AA8" s="462">
        <v>449411.1499999999</v>
      </c>
      <c r="AB8" s="508">
        <v>-0.10894570656730496</v>
      </c>
      <c r="AC8" s="731">
        <v>449411.1499999999</v>
      </c>
      <c r="AD8" s="285">
        <v>0</v>
      </c>
      <c r="AE8" s="463">
        <v>391153.095</v>
      </c>
      <c r="AF8" s="227">
        <v>58258.054999999935</v>
      </c>
      <c r="AH8" s="92">
        <v>40909</v>
      </c>
      <c r="AI8" s="458">
        <v>643937.65</v>
      </c>
      <c r="AJ8" s="719">
        <v>1.1729535427303008</v>
      </c>
      <c r="AK8" s="279">
        <v>755308.9478649246</v>
      </c>
      <c r="AL8" s="630">
        <v>723482.9500000001</v>
      </c>
      <c r="AM8" s="508">
        <v>-0.04213639723836037</v>
      </c>
      <c r="AN8" s="731">
        <v>723482.9500000001</v>
      </c>
      <c r="AO8" s="285">
        <v>0</v>
      </c>
      <c r="AP8" s="463">
        <v>622539.3450000001</v>
      </c>
      <c r="AQ8" s="227">
        <v>100943.60499999998</v>
      </c>
    </row>
    <row r="9" spans="1:48" ht="15">
      <c r="A9" s="14" t="s">
        <v>12</v>
      </c>
      <c r="B9" s="21">
        <v>178740</v>
      </c>
      <c r="C9" s="16">
        <v>428197.5</v>
      </c>
      <c r="D9" s="22">
        <v>248910</v>
      </c>
      <c r="E9" s="23">
        <v>586354.23</v>
      </c>
      <c r="F9" s="19">
        <v>427650</v>
      </c>
      <c r="G9" s="20">
        <v>1014551.73</v>
      </c>
      <c r="H9" s="59">
        <v>3.9086</v>
      </c>
      <c r="I9" s="59">
        <v>3.9175</v>
      </c>
      <c r="J9" s="63">
        <v>3.914120045703022</v>
      </c>
      <c r="K9" s="293"/>
      <c r="L9" s="93">
        <v>40940</v>
      </c>
      <c r="M9" s="280">
        <v>1073831.265</v>
      </c>
      <c r="N9" s="98">
        <v>1.1682668552223832</v>
      </c>
      <c r="O9" s="280">
        <v>1254521.4750010234</v>
      </c>
      <c r="P9" s="462">
        <v>1329164.8499999999</v>
      </c>
      <c r="Q9" s="638">
        <v>0.0594994796712552</v>
      </c>
      <c r="R9" s="283">
        <v>1254521.4750010234</v>
      </c>
      <c r="S9" s="286">
        <v>74643.37499897648</v>
      </c>
      <c r="T9" s="225">
        <v>1130644.895</v>
      </c>
      <c r="U9" s="228">
        <v>123876.58000102337</v>
      </c>
      <c r="W9" s="93">
        <v>40940</v>
      </c>
      <c r="X9" s="459">
        <v>447416.055</v>
      </c>
      <c r="Y9" s="461">
        <v>1.1666990667449142</v>
      </c>
      <c r="Z9" s="280">
        <v>521999.8938151912</v>
      </c>
      <c r="AA9" s="462">
        <v>469495.75</v>
      </c>
      <c r="AB9" s="509">
        <v>-0.10058267144740021</v>
      </c>
      <c r="AC9" s="732">
        <v>469495.75</v>
      </c>
      <c r="AD9" s="286">
        <v>0</v>
      </c>
      <c r="AE9" s="464">
        <v>409137.425</v>
      </c>
      <c r="AF9" s="228">
        <v>60358.32500000001</v>
      </c>
      <c r="AH9" s="93">
        <v>40940</v>
      </c>
      <c r="AI9" s="459">
        <v>626415.2100000001</v>
      </c>
      <c r="AJ9" s="720">
        <v>1.1704692945076067</v>
      </c>
      <c r="AK9" s="280">
        <v>733199.7689175344</v>
      </c>
      <c r="AL9" s="462">
        <v>859669.0999999999</v>
      </c>
      <c r="AM9" s="509">
        <v>0.17248959484695356</v>
      </c>
      <c r="AN9" s="732">
        <v>733199.7689175344</v>
      </c>
      <c r="AO9" s="286">
        <v>126469.33108246548</v>
      </c>
      <c r="AP9" s="464">
        <v>721507.47</v>
      </c>
      <c r="AQ9" s="228">
        <v>11692.298917534412</v>
      </c>
      <c r="AR9" s="953"/>
      <c r="AS9" s="954"/>
      <c r="AT9" s="954"/>
      <c r="AU9" s="954"/>
      <c r="AV9" s="954"/>
    </row>
    <row r="10" spans="1:44" ht="15">
      <c r="A10" s="14" t="s">
        <v>13</v>
      </c>
      <c r="B10" s="21">
        <v>184760</v>
      </c>
      <c r="C10" s="16">
        <v>443265.12</v>
      </c>
      <c r="D10" s="22">
        <v>285770</v>
      </c>
      <c r="E10" s="23">
        <v>671863.5900000001</v>
      </c>
      <c r="F10" s="19">
        <v>470530</v>
      </c>
      <c r="G10" s="20">
        <v>1115128.71</v>
      </c>
      <c r="H10" s="59">
        <v>3.914</v>
      </c>
      <c r="I10" s="59">
        <v>3.912</v>
      </c>
      <c r="J10" s="63">
        <v>3.912759540291456</v>
      </c>
      <c r="K10" s="293"/>
      <c r="L10" s="93">
        <v>40969</v>
      </c>
      <c r="M10" s="280">
        <v>1136028.405</v>
      </c>
      <c r="N10" s="98">
        <v>1.1671374272644437</v>
      </c>
      <c r="O10" s="280">
        <v>1325901.2699110296</v>
      </c>
      <c r="P10" s="462">
        <v>1529153.25</v>
      </c>
      <c r="Q10" s="638">
        <v>0.15329345004896855</v>
      </c>
      <c r="R10" s="283">
        <v>1325901.2699110296</v>
      </c>
      <c r="S10" s="286">
        <v>203251.9800889704</v>
      </c>
      <c r="T10" s="225">
        <v>1188540.96</v>
      </c>
      <c r="U10" s="228">
        <v>137360.30991102965</v>
      </c>
      <c r="W10" s="93">
        <v>40969</v>
      </c>
      <c r="X10" s="459">
        <v>451773.99</v>
      </c>
      <c r="Y10" s="461">
        <v>1.1611246926298697</v>
      </c>
      <c r="Z10" s="280">
        <v>524565.9352769199</v>
      </c>
      <c r="AA10" s="462">
        <v>512624.80000000005</v>
      </c>
      <c r="AB10" s="509">
        <v>-0.022763840489596513</v>
      </c>
      <c r="AC10" s="732">
        <v>512624.80000000005</v>
      </c>
      <c r="AD10" s="286">
        <v>0</v>
      </c>
      <c r="AE10" s="464">
        <v>445831.91</v>
      </c>
      <c r="AF10" s="228">
        <v>66792.89000000007</v>
      </c>
      <c r="AH10" s="93">
        <v>40969</v>
      </c>
      <c r="AI10" s="459">
        <v>684254.415</v>
      </c>
      <c r="AJ10" s="720">
        <v>1.1730097545416782</v>
      </c>
      <c r="AK10" s="280">
        <v>802637.1033832097</v>
      </c>
      <c r="AL10" s="462">
        <v>1016528.45</v>
      </c>
      <c r="AM10" s="509">
        <v>0.26648574519569695</v>
      </c>
      <c r="AN10" s="732">
        <v>802637.1033832097</v>
      </c>
      <c r="AO10" s="286">
        <v>213891.34661679028</v>
      </c>
      <c r="AP10" s="464">
        <v>742709.05</v>
      </c>
      <c r="AQ10" s="228">
        <v>59928.053383209626</v>
      </c>
      <c r="AR10" s="94"/>
    </row>
    <row r="11" spans="1:43" ht="15">
      <c r="A11" s="14" t="s">
        <v>14</v>
      </c>
      <c r="B11" s="21">
        <v>202690</v>
      </c>
      <c r="C11" s="16">
        <v>483859.35</v>
      </c>
      <c r="D11" s="22">
        <v>338285</v>
      </c>
      <c r="E11" s="23">
        <v>794545.425</v>
      </c>
      <c r="F11" s="19">
        <v>540975</v>
      </c>
      <c r="G11" s="20">
        <v>1278404.775</v>
      </c>
      <c r="H11" s="59">
        <v>3.902</v>
      </c>
      <c r="I11" s="59">
        <v>3.905</v>
      </c>
      <c r="J11" s="63">
        <v>3.903860689562816</v>
      </c>
      <c r="K11" s="293"/>
      <c r="L11" s="93">
        <v>41000</v>
      </c>
      <c r="M11" s="280">
        <v>1452402.8983333334</v>
      </c>
      <c r="N11" s="98">
        <v>1.1710661400037583</v>
      </c>
      <c r="O11" s="280">
        <v>1700859.8558814877</v>
      </c>
      <c r="P11" s="462">
        <v>1619954.9000000001</v>
      </c>
      <c r="Q11" s="638">
        <v>-0.047567091199032255</v>
      </c>
      <c r="R11" s="283">
        <v>1619954.9000000001</v>
      </c>
      <c r="S11" s="286">
        <v>0</v>
      </c>
      <c r="T11" s="225">
        <v>1397500.4700000002</v>
      </c>
      <c r="U11" s="228">
        <v>222454.42999999993</v>
      </c>
      <c r="W11" s="93">
        <v>41000</v>
      </c>
      <c r="X11" s="459">
        <v>554761.11</v>
      </c>
      <c r="Y11" s="461">
        <v>1.1674623818402308</v>
      </c>
      <c r="Z11" s="280">
        <v>647662.7268329302</v>
      </c>
      <c r="AA11" s="462">
        <v>546753.65</v>
      </c>
      <c r="AB11" s="509">
        <v>-0.1558049778877587</v>
      </c>
      <c r="AC11" s="732">
        <v>546753.65</v>
      </c>
      <c r="AD11" s="286">
        <v>0</v>
      </c>
      <c r="AE11" s="464">
        <v>475581.74500000005</v>
      </c>
      <c r="AF11" s="228">
        <v>71171.90499999997</v>
      </c>
      <c r="AH11" s="93">
        <v>41000</v>
      </c>
      <c r="AI11" s="459">
        <v>897641.7883333334</v>
      </c>
      <c r="AJ11" s="720">
        <v>1.1748834631848637</v>
      </c>
      <c r="AK11" s="280">
        <v>1054624.4929765211</v>
      </c>
      <c r="AL11" s="462">
        <v>1073201.25</v>
      </c>
      <c r="AM11" s="509">
        <v>0.01761457006469546</v>
      </c>
      <c r="AN11" s="732">
        <v>1054624.4929765211</v>
      </c>
      <c r="AO11" s="286">
        <v>18576.757023478858</v>
      </c>
      <c r="AP11" s="464">
        <v>921918.7250000001</v>
      </c>
      <c r="AQ11" s="228">
        <v>132705.76797652105</v>
      </c>
    </row>
    <row r="12" spans="1:43" ht="15">
      <c r="A12" s="14" t="s">
        <v>15</v>
      </c>
      <c r="B12" s="21">
        <v>313200</v>
      </c>
      <c r="C12" s="16">
        <v>737158.86</v>
      </c>
      <c r="D12" s="22">
        <v>523900</v>
      </c>
      <c r="E12" s="23">
        <v>1226516.35</v>
      </c>
      <c r="F12" s="19">
        <v>837100</v>
      </c>
      <c r="G12" s="20">
        <v>1963675.21</v>
      </c>
      <c r="H12" s="59">
        <v>3.873</v>
      </c>
      <c r="I12" s="59">
        <v>3.886</v>
      </c>
      <c r="J12" s="63">
        <v>3.881062988105538</v>
      </c>
      <c r="K12" s="293"/>
      <c r="L12" s="93">
        <v>41030</v>
      </c>
      <c r="M12" s="280">
        <v>1774499.055</v>
      </c>
      <c r="N12" s="98">
        <v>1.1763681435669053</v>
      </c>
      <c r="O12" s="280">
        <v>2087464.1590915779</v>
      </c>
      <c r="P12" s="462">
        <v>2965464.45</v>
      </c>
      <c r="Q12" s="638">
        <v>0.4206061632648631</v>
      </c>
      <c r="R12" s="283">
        <v>2087464.1590915779</v>
      </c>
      <c r="S12" s="286">
        <v>878000.2909084223</v>
      </c>
      <c r="T12" s="225">
        <v>1869639.8594303527</v>
      </c>
      <c r="U12" s="228">
        <v>217824.29966122517</v>
      </c>
      <c r="W12" s="93">
        <v>41030</v>
      </c>
      <c r="X12" s="459">
        <v>675207.69</v>
      </c>
      <c r="Y12" s="461">
        <v>1.1747958722620673</v>
      </c>
      <c r="Z12" s="280">
        <v>793231.2071316055</v>
      </c>
      <c r="AA12" s="462">
        <v>1094366.7</v>
      </c>
      <c r="AB12" s="509">
        <v>0.37963142418126383</v>
      </c>
      <c r="AC12" s="732">
        <v>793231.2071316055</v>
      </c>
      <c r="AD12" s="286">
        <v>301135.4928683945</v>
      </c>
      <c r="AE12" s="464">
        <v>709691.2906828617</v>
      </c>
      <c r="AF12" s="228">
        <v>83539.91644874378</v>
      </c>
      <c r="AH12" s="93">
        <v>41030</v>
      </c>
      <c r="AI12" s="459">
        <v>1099291.365</v>
      </c>
      <c r="AJ12" s="720">
        <v>1.1788814491757302</v>
      </c>
      <c r="AK12" s="280">
        <v>1295934.1974375667</v>
      </c>
      <c r="AL12" s="462">
        <v>1871097.75</v>
      </c>
      <c r="AM12" s="509">
        <v>0.4438215718820419</v>
      </c>
      <c r="AN12" s="732">
        <v>1295934.1974375667</v>
      </c>
      <c r="AO12" s="286">
        <v>575163.5525624333</v>
      </c>
      <c r="AP12" s="464">
        <v>1159948.568747491</v>
      </c>
      <c r="AQ12" s="228">
        <v>135985.6286900756</v>
      </c>
    </row>
    <row r="13" spans="1:43" ht="15">
      <c r="A13" s="14" t="s">
        <v>16</v>
      </c>
      <c r="B13" s="24">
        <v>341160</v>
      </c>
      <c r="C13" s="25">
        <v>804604.86</v>
      </c>
      <c r="D13" s="22">
        <v>545840</v>
      </c>
      <c r="E13" s="23">
        <v>1276812.32</v>
      </c>
      <c r="F13" s="19">
        <v>887000</v>
      </c>
      <c r="G13" s="20">
        <v>2081417.1800000002</v>
      </c>
      <c r="H13" s="59">
        <v>3.88</v>
      </c>
      <c r="I13" s="59">
        <v>3.886</v>
      </c>
      <c r="J13" s="63">
        <v>3.883721379125633</v>
      </c>
      <c r="K13" s="293"/>
      <c r="L13" s="93">
        <v>41061</v>
      </c>
      <c r="M13" s="280">
        <v>2034224.461666667</v>
      </c>
      <c r="N13" s="98">
        <v>1.174789287406495</v>
      </c>
      <c r="O13" s="280">
        <v>2389785.1057462445</v>
      </c>
      <c r="P13" s="462">
        <v>2983027.05</v>
      </c>
      <c r="Q13" s="638">
        <v>0.24824070701056067</v>
      </c>
      <c r="R13" s="283">
        <v>2389785.1057462445</v>
      </c>
      <c r="S13" s="286">
        <v>593241.9442537553</v>
      </c>
      <c r="T13" s="225">
        <v>2140065.123141216</v>
      </c>
      <c r="U13" s="228">
        <v>249719.98260502843</v>
      </c>
      <c r="W13" s="93">
        <v>41061</v>
      </c>
      <c r="X13" s="459">
        <v>768177.4466666667</v>
      </c>
      <c r="Y13" s="461">
        <v>1.1723567556586536</v>
      </c>
      <c r="Z13" s="280">
        <v>900578.0191442817</v>
      </c>
      <c r="AA13" s="462">
        <v>1166145.45</v>
      </c>
      <c r="AB13" s="509">
        <v>0.29488553485688795</v>
      </c>
      <c r="AC13" s="732">
        <v>900578.0191442817</v>
      </c>
      <c r="AD13" s="286">
        <v>265567.4308557182</v>
      </c>
      <c r="AE13" s="464">
        <v>805930.7690233368</v>
      </c>
      <c r="AF13" s="228">
        <v>94647.25012094493</v>
      </c>
      <c r="AH13" s="93">
        <v>41061</v>
      </c>
      <c r="AI13" s="459">
        <v>1266047.015</v>
      </c>
      <c r="AJ13" s="720">
        <v>1.1776542282504292</v>
      </c>
      <c r="AK13" s="280">
        <v>1490965.6203785844</v>
      </c>
      <c r="AL13" s="462">
        <v>1816881.6</v>
      </c>
      <c r="AM13" s="509">
        <v>0.21859389322381526</v>
      </c>
      <c r="AN13" s="732">
        <v>1490965.6203785844</v>
      </c>
      <c r="AO13" s="286">
        <v>325915.9796214157</v>
      </c>
      <c r="AP13" s="464">
        <v>1334134.3541178794</v>
      </c>
      <c r="AQ13" s="228">
        <v>156831.26626070496</v>
      </c>
    </row>
    <row r="14" spans="1:43" ht="15">
      <c r="A14" s="14" t="s">
        <v>17</v>
      </c>
      <c r="B14" s="24">
        <v>324030</v>
      </c>
      <c r="C14" s="25">
        <v>762768.6200000001</v>
      </c>
      <c r="D14" s="22">
        <v>553735</v>
      </c>
      <c r="E14" s="23">
        <v>1294812.3750000002</v>
      </c>
      <c r="F14" s="19">
        <v>877765</v>
      </c>
      <c r="G14" s="20">
        <v>2057580.9950000003</v>
      </c>
      <c r="H14" s="59">
        <v>3.871</v>
      </c>
      <c r="I14" s="59">
        <v>3.891</v>
      </c>
      <c r="J14" s="63">
        <v>3.883404597085442</v>
      </c>
      <c r="K14" s="293"/>
      <c r="L14" s="93">
        <v>41091</v>
      </c>
      <c r="M14" s="280">
        <v>2093205.9183333337</v>
      </c>
      <c r="N14" s="98">
        <v>1.1749414908664577</v>
      </c>
      <c r="O14" s="280">
        <v>2459394.4823770598</v>
      </c>
      <c r="P14" s="462">
        <v>2986194.95</v>
      </c>
      <c r="Q14" s="638">
        <v>0.21419925571020065</v>
      </c>
      <c r="R14" s="283">
        <v>2459394.4823770598</v>
      </c>
      <c r="S14" s="286">
        <v>526800.4676229404</v>
      </c>
      <c r="T14" s="225">
        <v>2461574.46</v>
      </c>
      <c r="U14" s="228">
        <v>-2179.977622940205</v>
      </c>
      <c r="W14" s="93">
        <v>41091</v>
      </c>
      <c r="X14" s="459">
        <v>798790.055</v>
      </c>
      <c r="Y14" s="461">
        <v>1.1749445893800459</v>
      </c>
      <c r="Z14" s="280">
        <v>938534.0531728393</v>
      </c>
      <c r="AA14" s="462">
        <v>1231283.25</v>
      </c>
      <c r="AB14" s="509">
        <v>0.3119217633473</v>
      </c>
      <c r="AC14" s="732">
        <v>938534.0531728393</v>
      </c>
      <c r="AD14" s="286">
        <v>292749.19682716066</v>
      </c>
      <c r="AE14" s="464">
        <v>938618.15</v>
      </c>
      <c r="AF14" s="228">
        <v>-84.09682716068346</v>
      </c>
      <c r="AH14" s="93">
        <v>41091</v>
      </c>
      <c r="AI14" s="459">
        <v>1294415.8633333335</v>
      </c>
      <c r="AJ14" s="720">
        <v>1.1763906112527096</v>
      </c>
      <c r="AK14" s="280">
        <v>1522738.668681904</v>
      </c>
      <c r="AL14" s="462">
        <v>1754911.7</v>
      </c>
      <c r="AM14" s="509">
        <v>0.15247070038555402</v>
      </c>
      <c r="AN14" s="732">
        <v>1522738.668681904</v>
      </c>
      <c r="AO14" s="286">
        <v>232173.03131809598</v>
      </c>
      <c r="AP14" s="464">
        <v>1522956.31</v>
      </c>
      <c r="AQ14" s="228">
        <v>-217.6413180960808</v>
      </c>
    </row>
    <row r="15" spans="1:43" ht="15">
      <c r="A15" s="14" t="s">
        <v>18</v>
      </c>
      <c r="B15" s="24">
        <v>353205</v>
      </c>
      <c r="C15" s="25">
        <v>828996.685</v>
      </c>
      <c r="D15" s="22">
        <v>560955</v>
      </c>
      <c r="E15" s="23">
        <v>1311622.8950000003</v>
      </c>
      <c r="F15" s="19">
        <v>914160</v>
      </c>
      <c r="G15" s="20">
        <v>2140619.58</v>
      </c>
      <c r="H15" s="59">
        <v>4.07</v>
      </c>
      <c r="I15" s="59">
        <v>4.089</v>
      </c>
      <c r="J15" s="63">
        <v>4.081784367231171</v>
      </c>
      <c r="K15" s="293"/>
      <c r="L15" s="93">
        <v>41122</v>
      </c>
      <c r="M15" s="280">
        <v>2086609.3216666665</v>
      </c>
      <c r="N15" s="98">
        <v>1.2107066397016493</v>
      </c>
      <c r="O15" s="280">
        <v>2526271.760205188</v>
      </c>
      <c r="P15" s="462">
        <v>2892723.8</v>
      </c>
      <c r="Q15" s="638">
        <v>0.14505646049934395</v>
      </c>
      <c r="R15" s="283">
        <v>2526271.760205188</v>
      </c>
      <c r="S15" s="286">
        <v>366452.039794812</v>
      </c>
      <c r="T15" s="225">
        <v>2528285.7</v>
      </c>
      <c r="U15" s="228">
        <v>-2013.9397948123515</v>
      </c>
      <c r="W15" s="93">
        <v>41122</v>
      </c>
      <c r="X15" s="459">
        <v>796218.0316666667</v>
      </c>
      <c r="Y15" s="461">
        <v>1.2107350528960534</v>
      </c>
      <c r="Z15" s="280">
        <v>964009.0806867332</v>
      </c>
      <c r="AA15" s="462">
        <v>1203615.8499999999</v>
      </c>
      <c r="AB15" s="509">
        <v>0.24855239863775705</v>
      </c>
      <c r="AC15" s="732">
        <v>964009.0806867332</v>
      </c>
      <c r="AD15" s="286">
        <v>239606.76931326662</v>
      </c>
      <c r="AE15" s="464">
        <v>966304.88</v>
      </c>
      <c r="AF15" s="228">
        <v>-2295.7993132667616</v>
      </c>
      <c r="AH15" s="93">
        <v>41122</v>
      </c>
      <c r="AI15" s="459">
        <v>1290391.2900000003</v>
      </c>
      <c r="AJ15" s="720">
        <v>1.212031109118955</v>
      </c>
      <c r="AK15" s="280">
        <v>1563994.3864161395</v>
      </c>
      <c r="AL15" s="462">
        <v>1689107.95</v>
      </c>
      <c r="AM15" s="509">
        <v>0.07999617177051097</v>
      </c>
      <c r="AN15" s="732">
        <v>1563994.3864161395</v>
      </c>
      <c r="AO15" s="286">
        <v>125113.5635838604</v>
      </c>
      <c r="AP15" s="464">
        <v>1561980.82</v>
      </c>
      <c r="AQ15" s="228">
        <v>2013.5664161394816</v>
      </c>
    </row>
    <row r="16" spans="1:43" ht="15">
      <c r="A16" s="14" t="s">
        <v>19</v>
      </c>
      <c r="B16" s="24">
        <v>339420</v>
      </c>
      <c r="C16" s="25">
        <v>796888.79</v>
      </c>
      <c r="D16" s="22">
        <v>540990</v>
      </c>
      <c r="E16" s="23">
        <v>1264738.6</v>
      </c>
      <c r="F16" s="19">
        <v>880410</v>
      </c>
      <c r="G16" s="20">
        <v>2061627.3900000001</v>
      </c>
      <c r="H16" s="59">
        <v>4.067</v>
      </c>
      <c r="I16" s="59">
        <v>3.884</v>
      </c>
      <c r="J16" s="63">
        <v>3.9534979366682026</v>
      </c>
      <c r="K16" s="293"/>
      <c r="L16" s="93">
        <v>41153</v>
      </c>
      <c r="M16" s="280">
        <v>1839842.241666667</v>
      </c>
      <c r="N16" s="98">
        <v>1.2461773507975666</v>
      </c>
      <c r="O16" s="280">
        <v>2292769.730605623</v>
      </c>
      <c r="P16" s="462">
        <v>2668787.1000000006</v>
      </c>
      <c r="Q16" s="638">
        <v>0.16400136672035281</v>
      </c>
      <c r="R16" s="283">
        <v>2292769.730605623</v>
      </c>
      <c r="S16" s="286">
        <v>376017.36939437734</v>
      </c>
      <c r="T16" s="225">
        <v>2213859.89</v>
      </c>
      <c r="U16" s="228">
        <v>78909.84060562309</v>
      </c>
      <c r="W16" s="93">
        <v>41153</v>
      </c>
      <c r="X16" s="459">
        <v>688587.3016666666</v>
      </c>
      <c r="Y16" s="461">
        <v>1.2091485060710812</v>
      </c>
      <c r="Z16" s="280">
        <v>832604.3071097669</v>
      </c>
      <c r="AA16" s="462">
        <v>1181692.4000000001</v>
      </c>
      <c r="AB16" s="509">
        <v>0.4192725042487812</v>
      </c>
      <c r="AC16" s="732">
        <v>832604.3071097669</v>
      </c>
      <c r="AD16" s="286">
        <v>349088.09289023327</v>
      </c>
      <c r="AE16" s="464">
        <v>834631.09</v>
      </c>
      <c r="AF16" s="228">
        <v>-2026.7828902330948</v>
      </c>
      <c r="AH16" s="93">
        <v>41153</v>
      </c>
      <c r="AI16" s="459">
        <v>1151254.9400000002</v>
      </c>
      <c r="AJ16" s="720">
        <v>1.2708321822890232</v>
      </c>
      <c r="AK16" s="280">
        <v>1463051.8277712187</v>
      </c>
      <c r="AL16" s="462">
        <v>1487094.7000000002</v>
      </c>
      <c r="AM16" s="509">
        <v>0.016433370146160746</v>
      </c>
      <c r="AN16" s="732">
        <v>1463051.8277712187</v>
      </c>
      <c r="AO16" s="286">
        <v>24042.87222878146</v>
      </c>
      <c r="AP16" s="464">
        <v>1379228.8</v>
      </c>
      <c r="AQ16" s="228">
        <v>83823.02777121868</v>
      </c>
    </row>
    <row r="17" spans="1:43" ht="15">
      <c r="A17" s="26" t="s">
        <v>20</v>
      </c>
      <c r="B17" s="21">
        <v>186080</v>
      </c>
      <c r="C17" s="16">
        <v>439876.43</v>
      </c>
      <c r="D17" s="22">
        <v>372695</v>
      </c>
      <c r="E17" s="23">
        <v>877403.3250000001</v>
      </c>
      <c r="F17" s="19">
        <v>558775</v>
      </c>
      <c r="G17" s="20">
        <v>1317279.7550000001</v>
      </c>
      <c r="H17" s="59">
        <v>4.081</v>
      </c>
      <c r="I17" s="59">
        <v>3.912</v>
      </c>
      <c r="J17" s="63">
        <v>3.976181154628012</v>
      </c>
      <c r="K17" s="293"/>
      <c r="L17" s="93">
        <v>41183</v>
      </c>
      <c r="M17" s="280">
        <v>1551345.2300000002</v>
      </c>
      <c r="N17" s="98">
        <v>1.2425926782188368</v>
      </c>
      <c r="O17" s="280">
        <v>1927690.2241877175</v>
      </c>
      <c r="P17" s="462">
        <v>1693327.3</v>
      </c>
      <c r="Q17" s="638">
        <v>-0.12157706733532479</v>
      </c>
      <c r="R17" s="283">
        <v>1693327.3</v>
      </c>
      <c r="S17" s="286">
        <v>0</v>
      </c>
      <c r="T17" s="225">
        <v>1774037.98</v>
      </c>
      <c r="U17" s="228"/>
      <c r="W17" s="93">
        <v>41183</v>
      </c>
      <c r="X17" s="459">
        <v>557605.2016666667</v>
      </c>
      <c r="Y17" s="461">
        <v>1.206456926483405</v>
      </c>
      <c r="Z17" s="280">
        <v>672726.657793926</v>
      </c>
      <c r="AA17" s="462">
        <v>586715.5</v>
      </c>
      <c r="AB17" s="509">
        <v>-0.12785454061829887</v>
      </c>
      <c r="AC17" s="732">
        <v>586715.5</v>
      </c>
      <c r="AD17" s="286">
        <v>0</v>
      </c>
      <c r="AE17" s="464">
        <v>586715.5</v>
      </c>
      <c r="AF17" s="228">
        <v>0</v>
      </c>
      <c r="AH17" s="93">
        <v>41183</v>
      </c>
      <c r="AI17" s="459">
        <v>993740.0283333334</v>
      </c>
      <c r="AJ17" s="720">
        <v>1.2673815089586407</v>
      </c>
      <c r="AK17" s="280">
        <v>1259447.7366217026</v>
      </c>
      <c r="AL17" s="462">
        <v>1106611.8</v>
      </c>
      <c r="AM17" s="509">
        <v>-0.12135155130109976</v>
      </c>
      <c r="AN17" s="732">
        <v>1106611.8</v>
      </c>
      <c r="AO17" s="286">
        <v>0</v>
      </c>
      <c r="AP17" s="464">
        <v>1187322.48</v>
      </c>
      <c r="AQ17" s="228">
        <v>-80710.67999999993</v>
      </c>
    </row>
    <row r="18" spans="1:43" ht="15">
      <c r="A18" s="26" t="s">
        <v>21</v>
      </c>
      <c r="B18" s="21">
        <v>184785</v>
      </c>
      <c r="C18" s="16">
        <v>436050.385</v>
      </c>
      <c r="D18" s="22">
        <v>356230</v>
      </c>
      <c r="E18" s="23">
        <v>839078.16</v>
      </c>
      <c r="F18" s="19">
        <v>541015</v>
      </c>
      <c r="G18" s="20">
        <v>1275128.545</v>
      </c>
      <c r="H18" s="59">
        <v>4.079</v>
      </c>
      <c r="I18" s="59">
        <v>4.113</v>
      </c>
      <c r="J18" s="63">
        <v>4.100087815045252</v>
      </c>
      <c r="K18" s="293"/>
      <c r="L18" s="93">
        <v>41214</v>
      </c>
      <c r="M18" s="280">
        <v>1239763.6616666666</v>
      </c>
      <c r="N18" s="98">
        <v>1.2026720860311755</v>
      </c>
      <c r="O18" s="280">
        <v>1491029.1491622983</v>
      </c>
      <c r="P18" s="462">
        <v>1675928.65</v>
      </c>
      <c r="Q18" s="638">
        <v>0.12400797190422688</v>
      </c>
      <c r="R18" s="283">
        <v>1491029.1491622983</v>
      </c>
      <c r="S18" s="286">
        <v>184899.5008377016</v>
      </c>
      <c r="T18" s="225">
        <v>1491098.33</v>
      </c>
      <c r="U18" s="228"/>
      <c r="W18" s="93">
        <v>41214</v>
      </c>
      <c r="X18" s="459">
        <v>426126.1966666666</v>
      </c>
      <c r="Y18" s="461">
        <v>1.2037395215519102</v>
      </c>
      <c r="Z18" s="280">
        <v>512944.94409626845</v>
      </c>
      <c r="AA18" s="462">
        <v>563374.95</v>
      </c>
      <c r="AB18" s="509">
        <v>0.09831465634695272</v>
      </c>
      <c r="AC18" s="732">
        <v>512944.94409626845</v>
      </c>
      <c r="AD18" s="286">
        <v>50430.00590373151</v>
      </c>
      <c r="AE18" s="464">
        <v>514380.73</v>
      </c>
      <c r="AF18" s="228">
        <v>-1435.7859037315357</v>
      </c>
      <c r="AH18" s="93">
        <v>41214</v>
      </c>
      <c r="AI18" s="459">
        <v>813637.465</v>
      </c>
      <c r="AJ18" s="720">
        <v>1.204004090068737</v>
      </c>
      <c r="AK18" s="280">
        <v>979622.8356931588</v>
      </c>
      <c r="AL18" s="462">
        <v>1112553.7</v>
      </c>
      <c r="AM18" s="509">
        <v>0.13569596324567335</v>
      </c>
      <c r="AN18" s="732">
        <v>979622.8356931588</v>
      </c>
      <c r="AO18" s="286">
        <v>132930.86430684116</v>
      </c>
      <c r="AP18" s="464">
        <v>976717.6</v>
      </c>
      <c r="AQ18" s="228">
        <v>2905.2356931588147</v>
      </c>
    </row>
    <row r="19" spans="1:43" ht="15">
      <c r="A19" s="26" t="s">
        <v>22</v>
      </c>
      <c r="B19" s="27">
        <v>170725</v>
      </c>
      <c r="C19" s="16">
        <v>402451.775</v>
      </c>
      <c r="D19" s="28">
        <v>307750</v>
      </c>
      <c r="E19" s="29">
        <v>724430.91</v>
      </c>
      <c r="F19" s="19">
        <v>478475</v>
      </c>
      <c r="G19" s="20">
        <v>1126882.685</v>
      </c>
      <c r="H19" s="60">
        <v>4.071</v>
      </c>
      <c r="I19" s="60">
        <v>4.111</v>
      </c>
      <c r="J19" s="64">
        <v>4.095809194170885</v>
      </c>
      <c r="K19" s="293"/>
      <c r="L19" s="93">
        <v>41244</v>
      </c>
      <c r="M19" s="280">
        <v>1164608.195</v>
      </c>
      <c r="N19" s="98">
        <v>0</v>
      </c>
      <c r="O19" s="280">
        <v>0</v>
      </c>
      <c r="P19" s="462">
        <v>1593035.45</v>
      </c>
      <c r="Q19" s="638" t="e">
        <v>#DIV/0!</v>
      </c>
      <c r="R19" s="283" t="e">
        <v>#DIV/0!</v>
      </c>
      <c r="S19" s="286" t="e">
        <v>#DIV/0!</v>
      </c>
      <c r="T19" s="225">
        <v>1398934.81</v>
      </c>
      <c r="U19" s="228"/>
      <c r="W19" s="93">
        <v>41244</v>
      </c>
      <c r="X19" s="453">
        <v>504952.3116666667</v>
      </c>
      <c r="Y19" s="461">
        <v>1.2019015071991301</v>
      </c>
      <c r="Z19" s="280">
        <v>606902.9444558516</v>
      </c>
      <c r="AA19" s="462">
        <v>528552.8</v>
      </c>
      <c r="AB19" s="509">
        <v>-0.12909830998776942</v>
      </c>
      <c r="AC19" s="732">
        <v>528552.8</v>
      </c>
      <c r="AD19" s="286">
        <v>0</v>
      </c>
      <c r="AE19" s="464">
        <v>526095.16</v>
      </c>
      <c r="AF19" s="228">
        <v>2457.640000000014</v>
      </c>
      <c r="AH19" s="93">
        <v>41244</v>
      </c>
      <c r="AI19" s="453">
        <v>728675.295</v>
      </c>
      <c r="AJ19" s="720">
        <v>1.2042537875727117</v>
      </c>
      <c r="AK19" s="280">
        <v>877509.9839144131</v>
      </c>
      <c r="AL19" s="462">
        <v>1064482.65</v>
      </c>
      <c r="AM19" s="509">
        <v>0.2130718390821442</v>
      </c>
      <c r="AN19" s="732">
        <v>877509.9839144131</v>
      </c>
      <c r="AO19" s="286">
        <v>186972.66608558677</v>
      </c>
      <c r="AP19" s="464">
        <v>872839.65</v>
      </c>
      <c r="AQ19" s="228">
        <v>4670.333914413117</v>
      </c>
    </row>
    <row r="20" spans="1:43" ht="15">
      <c r="A20" s="30" t="s">
        <v>23</v>
      </c>
      <c r="B20" s="31">
        <v>2974780</v>
      </c>
      <c r="C20" s="32">
        <v>7034903.92</v>
      </c>
      <c r="D20" s="31">
        <v>4899770</v>
      </c>
      <c r="E20" s="32">
        <v>11489205.99</v>
      </c>
      <c r="F20" s="31">
        <v>7874550</v>
      </c>
      <c r="G20" s="33">
        <v>18524109.91</v>
      </c>
      <c r="H20" s="34"/>
      <c r="I20" s="35"/>
      <c r="J20" s="36"/>
      <c r="L20" s="49" t="s">
        <v>27</v>
      </c>
      <c r="M20" s="281">
        <v>18524109.91</v>
      </c>
      <c r="N20" s="206"/>
      <c r="O20" s="91"/>
      <c r="P20" s="287">
        <v>25109655.85</v>
      </c>
      <c r="Q20" s="207"/>
      <c r="R20" s="284" t="e">
        <v>#DIV/0!</v>
      </c>
      <c r="S20" s="287" t="e">
        <v>#DIV/0!</v>
      </c>
      <c r="T20" s="205">
        <v>20607874.91757157</v>
      </c>
      <c r="U20" s="205">
        <v>1185153.185366177</v>
      </c>
      <c r="W20" s="49" t="s">
        <v>27</v>
      </c>
      <c r="X20" s="453"/>
      <c r="Y20" s="454"/>
      <c r="Z20" s="455"/>
      <c r="AA20" s="287">
        <v>9534032.25</v>
      </c>
      <c r="AB20" s="456"/>
      <c r="AC20" s="284">
        <v>8035455.2613414945</v>
      </c>
      <c r="AD20" s="287">
        <v>1498576.9886585048</v>
      </c>
      <c r="AE20" s="457">
        <v>7604071.744706199</v>
      </c>
      <c r="AF20" s="457">
        <v>434768.3415696887</v>
      </c>
      <c r="AH20" s="49" t="s">
        <v>27</v>
      </c>
      <c r="AI20" s="453"/>
      <c r="AJ20" s="454"/>
      <c r="AK20" s="455"/>
      <c r="AL20" s="287">
        <v>15575623.6</v>
      </c>
      <c r="AM20" s="456"/>
      <c r="AN20" s="284">
        <v>13614373.63557025</v>
      </c>
      <c r="AO20" s="287">
        <v>1961249.9644297496</v>
      </c>
      <c r="AP20" s="457">
        <v>13003803.172865372</v>
      </c>
      <c r="AQ20" s="457">
        <v>610788.1040229758</v>
      </c>
    </row>
    <row r="21" spans="1:43" ht="15">
      <c r="A21" s="37"/>
      <c r="B21" s="38"/>
      <c r="C21" s="39"/>
      <c r="D21" s="38"/>
      <c r="E21" s="39"/>
      <c r="F21" s="38"/>
      <c r="G21" s="39"/>
      <c r="H21" s="40"/>
      <c r="I21" s="1"/>
      <c r="J21" s="1"/>
      <c r="AQ21" s="94"/>
    </row>
    <row r="22" spans="1:43" ht="15">
      <c r="A22" s="874" t="s">
        <v>24</v>
      </c>
      <c r="B22" s="41" t="s">
        <v>25</v>
      </c>
      <c r="C22" s="1"/>
      <c r="D22" s="1"/>
      <c r="E22" s="1"/>
      <c r="F22" s="1"/>
      <c r="G22" s="1"/>
      <c r="H22" s="40"/>
      <c r="I22" s="1"/>
      <c r="J22" s="1"/>
      <c r="N22" s="94"/>
      <c r="P22" s="94"/>
      <c r="R22" s="100"/>
      <c r="S22" s="94"/>
      <c r="T22" s="94"/>
      <c r="U22" s="94"/>
      <c r="W22" s="874" t="s">
        <v>24</v>
      </c>
      <c r="X22" s="41" t="s">
        <v>25</v>
      </c>
      <c r="Z22" s="901" t="s">
        <v>225</v>
      </c>
      <c r="AA22" s="902"/>
      <c r="AB22" s="902"/>
      <c r="AC22" s="903"/>
      <c r="AE22" s="94"/>
      <c r="AH22" s="874" t="s">
        <v>24</v>
      </c>
      <c r="AI22" s="926" t="s">
        <v>302</v>
      </c>
      <c r="AK22" s="865" t="s">
        <v>226</v>
      </c>
      <c r="AL22" s="866"/>
      <c r="AM22" s="866"/>
      <c r="AN22" s="867"/>
      <c r="AO22" s="94"/>
      <c r="AP22" s="94"/>
      <c r="AQ22" s="94"/>
    </row>
    <row r="23" spans="1:51" ht="15.75" thickBot="1">
      <c r="A23" s="875"/>
      <c r="B23" s="42" t="s">
        <v>26</v>
      </c>
      <c r="C23" s="1"/>
      <c r="D23" s="1"/>
      <c r="E23" s="1"/>
      <c r="F23" s="1"/>
      <c r="G23" s="43"/>
      <c r="H23" s="40"/>
      <c r="I23" s="1"/>
      <c r="J23" s="1"/>
      <c r="P23" s="94"/>
      <c r="R23" s="100"/>
      <c r="W23" s="875"/>
      <c r="X23" s="42" t="s">
        <v>26</v>
      </c>
      <c r="Z23" s="904"/>
      <c r="AA23" s="905"/>
      <c r="AB23" s="905"/>
      <c r="AC23" s="906"/>
      <c r="AH23" s="875"/>
      <c r="AI23" s="776"/>
      <c r="AK23" s="868"/>
      <c r="AL23" s="869"/>
      <c r="AM23" s="869"/>
      <c r="AN23" s="870"/>
      <c r="AP23" s="94"/>
      <c r="AQ23" s="94"/>
      <c r="AS23" s="878" t="s">
        <v>229</v>
      </c>
      <c r="AT23" s="879"/>
      <c r="AU23" s="879"/>
      <c r="AV23" s="879"/>
      <c r="AW23" s="879"/>
      <c r="AX23" s="879"/>
      <c r="AY23" s="880"/>
    </row>
    <row r="24" spans="1:51" ht="15">
      <c r="A24" s="44">
        <v>40544</v>
      </c>
      <c r="B24" s="45">
        <v>1077749.2566666666</v>
      </c>
      <c r="C24" s="1"/>
      <c r="D24" s="1"/>
      <c r="E24" s="89" t="s">
        <v>85</v>
      </c>
      <c r="F24" s="13" t="s">
        <v>82</v>
      </c>
      <c r="G24" s="13" t="s">
        <v>83</v>
      </c>
      <c r="H24" s="13" t="s">
        <v>84</v>
      </c>
      <c r="I24" s="13" t="s">
        <v>47</v>
      </c>
      <c r="J24" s="1"/>
      <c r="P24" s="94"/>
      <c r="R24" s="100"/>
      <c r="W24" s="44">
        <v>40544</v>
      </c>
      <c r="X24" s="45">
        <v>433811.6066666667</v>
      </c>
      <c r="Z24" s="907"/>
      <c r="AA24" s="908"/>
      <c r="AB24" s="908"/>
      <c r="AC24" s="909"/>
      <c r="AH24" s="44">
        <v>40544</v>
      </c>
      <c r="AI24" s="45">
        <v>643937.65</v>
      </c>
      <c r="AK24" s="871"/>
      <c r="AL24" s="872"/>
      <c r="AM24" s="872"/>
      <c r="AN24" s="873"/>
      <c r="AO24" s="94"/>
      <c r="AP24" s="94"/>
      <c r="AS24" s="881"/>
      <c r="AT24" s="882"/>
      <c r="AU24" s="882"/>
      <c r="AV24" s="882"/>
      <c r="AW24" s="882"/>
      <c r="AX24" s="882"/>
      <c r="AY24" s="883"/>
    </row>
    <row r="25" spans="1:51" ht="15">
      <c r="A25" s="46">
        <v>40575</v>
      </c>
      <c r="B25" s="24">
        <v>1073831.265</v>
      </c>
      <c r="C25" s="1"/>
      <c r="D25" s="1"/>
      <c r="E25" s="55" t="s">
        <v>32</v>
      </c>
      <c r="F25" s="61">
        <v>121470</v>
      </c>
      <c r="G25" s="61">
        <v>275040</v>
      </c>
      <c r="H25" s="61">
        <v>35280</v>
      </c>
      <c r="I25" s="61">
        <v>431790</v>
      </c>
      <c r="J25" s="1"/>
      <c r="K25" s="232" t="s">
        <v>114</v>
      </c>
      <c r="L25" s="139"/>
      <c r="M25" s="139"/>
      <c r="N25" s="140"/>
      <c r="P25" s="94"/>
      <c r="Q25" s="94"/>
      <c r="W25" s="46">
        <v>40575</v>
      </c>
      <c r="X25" s="24">
        <v>447416.055</v>
      </c>
      <c r="Z25" s="296" t="s">
        <v>5</v>
      </c>
      <c r="AA25" s="301" t="s">
        <v>29</v>
      </c>
      <c r="AB25" s="296" t="s">
        <v>30</v>
      </c>
      <c r="AC25" s="299" t="s">
        <v>31</v>
      </c>
      <c r="AH25" s="46">
        <v>40575</v>
      </c>
      <c r="AI25" s="24">
        <v>626415.2100000001</v>
      </c>
      <c r="AK25" s="296" t="s">
        <v>5</v>
      </c>
      <c r="AL25" s="301" t="s">
        <v>29</v>
      </c>
      <c r="AM25" s="296" t="s">
        <v>30</v>
      </c>
      <c r="AN25" s="734" t="s">
        <v>31</v>
      </c>
      <c r="AO25" s="94"/>
      <c r="AP25" s="94"/>
      <c r="AQ25" s="94"/>
      <c r="AS25" s="884" t="s">
        <v>230</v>
      </c>
      <c r="AT25" s="897" t="s">
        <v>231</v>
      </c>
      <c r="AU25" s="897"/>
      <c r="AV25" s="897"/>
      <c r="AW25" s="877" t="s">
        <v>232</v>
      </c>
      <c r="AX25" s="877"/>
      <c r="AY25" s="877"/>
    </row>
    <row r="26" spans="1:51" ht="15">
      <c r="A26" s="46">
        <v>40603</v>
      </c>
      <c r="B26" s="24">
        <v>1136028.405</v>
      </c>
      <c r="C26" s="1"/>
      <c r="D26" s="1"/>
      <c r="E26" s="56" t="s">
        <v>33</v>
      </c>
      <c r="F26" s="61">
        <v>142050</v>
      </c>
      <c r="G26" s="61">
        <v>312075</v>
      </c>
      <c r="H26" s="61">
        <v>34380</v>
      </c>
      <c r="I26" s="61">
        <v>488505</v>
      </c>
      <c r="J26" s="1"/>
      <c r="K26" s="141" t="s">
        <v>104</v>
      </c>
      <c r="L26" s="142" t="s">
        <v>44</v>
      </c>
      <c r="M26" s="142" t="s">
        <v>108</v>
      </c>
      <c r="N26" s="143" t="s">
        <v>46</v>
      </c>
      <c r="P26" s="94"/>
      <c r="S26" s="58"/>
      <c r="T26" s="231"/>
      <c r="W26" s="46">
        <v>40603</v>
      </c>
      <c r="X26" s="24">
        <v>451773.99</v>
      </c>
      <c r="Z26" s="297" t="s">
        <v>32</v>
      </c>
      <c r="AA26" s="302">
        <v>4.553176243709886</v>
      </c>
      <c r="AB26" s="298">
        <v>3.9163</v>
      </c>
      <c r="AC26" s="300">
        <v>1.1626219247018579</v>
      </c>
      <c r="AH26" s="46">
        <v>40603</v>
      </c>
      <c r="AI26" s="24">
        <v>684254.415</v>
      </c>
      <c r="AK26" s="297" t="s">
        <v>32</v>
      </c>
      <c r="AL26" s="302">
        <v>4.574518816648173</v>
      </c>
      <c r="AM26" s="298">
        <v>3.9</v>
      </c>
      <c r="AN26" s="735">
        <v>1.1729535427303008</v>
      </c>
      <c r="AO26" s="94"/>
      <c r="AP26" s="94"/>
      <c r="AQ26" s="94"/>
      <c r="AS26" s="884"/>
      <c r="AT26" s="487" t="s">
        <v>233</v>
      </c>
      <c r="AU26" s="488" t="s">
        <v>234</v>
      </c>
      <c r="AV26" s="488" t="s">
        <v>236</v>
      </c>
      <c r="AW26" s="489" t="s">
        <v>233</v>
      </c>
      <c r="AX26" s="214" t="s">
        <v>234</v>
      </c>
      <c r="AY26" s="214" t="s">
        <v>236</v>
      </c>
    </row>
    <row r="27" spans="1:51" ht="15">
      <c r="A27" s="46">
        <v>40634</v>
      </c>
      <c r="B27" s="24">
        <v>1452402.8983333334</v>
      </c>
      <c r="C27" s="1"/>
      <c r="D27" s="1"/>
      <c r="E27" s="56" t="s">
        <v>34</v>
      </c>
      <c r="F27" s="61">
        <v>155085</v>
      </c>
      <c r="G27" s="61">
        <v>365490</v>
      </c>
      <c r="H27" s="61">
        <v>41580</v>
      </c>
      <c r="I27" s="61">
        <v>562155</v>
      </c>
      <c r="J27" s="1"/>
      <c r="K27" s="141" t="s">
        <v>105</v>
      </c>
      <c r="L27" s="513">
        <v>2.565</v>
      </c>
      <c r="M27" s="514">
        <v>2.309</v>
      </c>
      <c r="N27" s="515">
        <v>1.9</v>
      </c>
      <c r="P27" s="94"/>
      <c r="R27" s="94"/>
      <c r="S27" s="94"/>
      <c r="T27" s="94"/>
      <c r="U27" s="94"/>
      <c r="W27" s="46">
        <v>40634</v>
      </c>
      <c r="X27" s="24">
        <v>554761.11</v>
      </c>
      <c r="Z27" s="297" t="s">
        <v>33</v>
      </c>
      <c r="AA27" s="302">
        <v>4.5601599722791715</v>
      </c>
      <c r="AB27" s="298">
        <v>3.9086</v>
      </c>
      <c r="AC27" s="300">
        <v>1.1666990667449142</v>
      </c>
      <c r="AH27" s="46">
        <v>40634</v>
      </c>
      <c r="AI27" s="24">
        <v>897641.7883333334</v>
      </c>
      <c r="AK27" s="297" t="s">
        <v>33</v>
      </c>
      <c r="AL27" s="302">
        <v>4.585313461233549</v>
      </c>
      <c r="AM27" s="298">
        <v>3.9175</v>
      </c>
      <c r="AN27" s="735">
        <v>1.1704692945076067</v>
      </c>
      <c r="AO27" s="94"/>
      <c r="AS27" s="485" t="s">
        <v>32</v>
      </c>
      <c r="AT27" s="648">
        <v>177570</v>
      </c>
      <c r="AU27" s="649">
        <v>165935</v>
      </c>
      <c r="AV27" s="346">
        <v>0.0701178172175852</v>
      </c>
      <c r="AW27" s="651">
        <v>355760</v>
      </c>
      <c r="AX27" s="652">
        <v>265855</v>
      </c>
      <c r="AY27" s="653">
        <v>0.3381730642643546</v>
      </c>
    </row>
    <row r="28" spans="1:51" ht="15">
      <c r="A28" s="46">
        <v>40664</v>
      </c>
      <c r="B28" s="24">
        <v>1774499.055</v>
      </c>
      <c r="C28" s="1"/>
      <c r="D28" s="1"/>
      <c r="E28" s="56" t="s">
        <v>35</v>
      </c>
      <c r="F28" s="61">
        <v>158705</v>
      </c>
      <c r="G28" s="61">
        <v>393975</v>
      </c>
      <c r="H28" s="61">
        <v>42480</v>
      </c>
      <c r="I28" s="61">
        <v>595160</v>
      </c>
      <c r="J28" s="1"/>
      <c r="K28" s="141" t="s">
        <v>106</v>
      </c>
      <c r="L28" s="430">
        <v>0.4</v>
      </c>
      <c r="M28" s="142">
        <v>0.656</v>
      </c>
      <c r="N28" s="431">
        <v>0.3</v>
      </c>
      <c r="P28" s="94"/>
      <c r="W28" s="46">
        <v>40664</v>
      </c>
      <c r="X28" s="24">
        <v>675207.69</v>
      </c>
      <c r="Z28" s="297" t="s">
        <v>34</v>
      </c>
      <c r="AA28" s="302">
        <v>4.54464204695331</v>
      </c>
      <c r="AB28" s="298">
        <v>3.914</v>
      </c>
      <c r="AC28" s="300">
        <v>1.1611246926298697</v>
      </c>
      <c r="AH28" s="46">
        <v>40664</v>
      </c>
      <c r="AI28" s="24">
        <v>1099291.365</v>
      </c>
      <c r="AK28" s="297" t="s">
        <v>34</v>
      </c>
      <c r="AL28" s="302">
        <v>4.588814159767045</v>
      </c>
      <c r="AM28" s="298">
        <v>3.912</v>
      </c>
      <c r="AN28" s="735">
        <v>1.1730097545416782</v>
      </c>
      <c r="AO28" s="94"/>
      <c r="AS28" s="486" t="s">
        <v>33</v>
      </c>
      <c r="AT28" s="648">
        <v>197240</v>
      </c>
      <c r="AU28" s="648">
        <v>173155</v>
      </c>
      <c r="AV28" s="356">
        <v>0.13909503046403512</v>
      </c>
      <c r="AW28" s="651">
        <v>465540</v>
      </c>
      <c r="AX28" s="654">
        <v>315350</v>
      </c>
      <c r="AY28" s="655">
        <v>0.4762644680513715</v>
      </c>
    </row>
    <row r="29" spans="1:51" ht="15">
      <c r="A29" s="46">
        <v>40695</v>
      </c>
      <c r="B29" s="24">
        <v>2034224.461666667</v>
      </c>
      <c r="C29" s="1"/>
      <c r="D29" s="1"/>
      <c r="E29" s="56" t="s">
        <v>36</v>
      </c>
      <c r="F29" s="61">
        <v>310185</v>
      </c>
      <c r="G29" s="61">
        <v>695790</v>
      </c>
      <c r="H29" s="61">
        <v>85140</v>
      </c>
      <c r="I29" s="61">
        <v>1091115</v>
      </c>
      <c r="J29" s="1"/>
      <c r="K29" s="141" t="s">
        <v>107</v>
      </c>
      <c r="L29" s="430">
        <v>1.2</v>
      </c>
      <c r="M29" s="430">
        <v>1.2</v>
      </c>
      <c r="N29" s="431">
        <v>1</v>
      </c>
      <c r="P29" s="94"/>
      <c r="W29" s="46">
        <v>40695</v>
      </c>
      <c r="X29" s="24">
        <v>768177.4466666667</v>
      </c>
      <c r="Z29" s="297" t="s">
        <v>35</v>
      </c>
      <c r="AA29" s="302">
        <v>4.5554382139405805</v>
      </c>
      <c r="AB29" s="298">
        <v>3.902</v>
      </c>
      <c r="AC29" s="300">
        <v>1.1674623818402308</v>
      </c>
      <c r="AH29" s="46">
        <v>40695</v>
      </c>
      <c r="AI29" s="24">
        <v>1266047.015</v>
      </c>
      <c r="AK29" s="297" t="s">
        <v>35</v>
      </c>
      <c r="AL29" s="302">
        <v>4.587919923736893</v>
      </c>
      <c r="AM29" s="298">
        <v>3.905</v>
      </c>
      <c r="AN29" s="735">
        <v>1.1748834631848637</v>
      </c>
      <c r="AS29" s="486" t="s">
        <v>34</v>
      </c>
      <c r="AT29" s="648">
        <v>276220</v>
      </c>
      <c r="AU29" s="648">
        <v>189550</v>
      </c>
      <c r="AV29" s="356">
        <v>0.4572408335531522</v>
      </c>
      <c r="AW29" s="651">
        <v>586000</v>
      </c>
      <c r="AX29" s="654">
        <v>372605</v>
      </c>
      <c r="AY29" s="655">
        <v>0.5727110478925403</v>
      </c>
    </row>
    <row r="30" spans="1:51" ht="15">
      <c r="A30" s="46">
        <v>40725</v>
      </c>
      <c r="B30" s="24">
        <v>2093205.9183333337</v>
      </c>
      <c r="C30" s="1"/>
      <c r="D30" s="1"/>
      <c r="E30" s="56" t="s">
        <v>37</v>
      </c>
      <c r="F30" s="61">
        <v>308025</v>
      </c>
      <c r="G30" s="61">
        <v>699570</v>
      </c>
      <c r="H30" s="61">
        <v>90720</v>
      </c>
      <c r="I30" s="61">
        <v>1098315</v>
      </c>
      <c r="J30" s="1"/>
      <c r="K30" s="144" t="s">
        <v>109</v>
      </c>
      <c r="L30" s="519">
        <v>4.165</v>
      </c>
      <c r="M30" s="145">
        <v>4.165</v>
      </c>
      <c r="N30" s="520">
        <v>3.1999999999999997</v>
      </c>
      <c r="W30" s="46">
        <v>40725</v>
      </c>
      <c r="X30" s="24">
        <v>798790.055</v>
      </c>
      <c r="Z30" s="297" t="s">
        <v>36</v>
      </c>
      <c r="AA30" s="302">
        <v>4.549984413270987</v>
      </c>
      <c r="AB30" s="298">
        <v>3.873</v>
      </c>
      <c r="AC30" s="300">
        <v>1.1747958722620673</v>
      </c>
      <c r="AH30" s="46">
        <v>40725</v>
      </c>
      <c r="AI30" s="24">
        <v>1294415.8633333335</v>
      </c>
      <c r="AK30" s="297" t="s">
        <v>36</v>
      </c>
      <c r="AL30" s="302">
        <v>4.581133311496888</v>
      </c>
      <c r="AM30" s="298">
        <v>3.886</v>
      </c>
      <c r="AN30" s="735">
        <v>1.1788814491757302</v>
      </c>
      <c r="AS30" s="486" t="s">
        <v>35</v>
      </c>
      <c r="AT30" s="648">
        <v>355140</v>
      </c>
      <c r="AU30" s="648">
        <v>201785</v>
      </c>
      <c r="AV30" s="356">
        <v>0.7599920707683921</v>
      </c>
      <c r="AW30" s="651">
        <v>585520</v>
      </c>
      <c r="AX30" s="654">
        <v>393375</v>
      </c>
      <c r="AY30" s="655">
        <v>0.4884524944391484</v>
      </c>
    </row>
    <row r="31" spans="1:51" ht="15.75">
      <c r="A31" s="46">
        <v>40756</v>
      </c>
      <c r="B31" s="24">
        <v>2086609.3216666665</v>
      </c>
      <c r="C31" s="1"/>
      <c r="D31" s="1"/>
      <c r="E31" s="56" t="s">
        <v>38</v>
      </c>
      <c r="F31" s="61">
        <v>280115</v>
      </c>
      <c r="G31" s="61">
        <v>726210</v>
      </c>
      <c r="H31" s="61">
        <v>92880</v>
      </c>
      <c r="I31" s="61">
        <v>1099205</v>
      </c>
      <c r="J31" s="1"/>
      <c r="K31" s="233" t="s">
        <v>113</v>
      </c>
      <c r="L31" s="234"/>
      <c r="M31" s="234"/>
      <c r="N31" s="235"/>
      <c r="Q31" s="99"/>
      <c r="W31" s="46">
        <v>40756</v>
      </c>
      <c r="X31" s="24">
        <v>796218.0316666667</v>
      </c>
      <c r="Z31" s="297" t="s">
        <v>37</v>
      </c>
      <c r="AA31" s="302">
        <v>4.548744211955576</v>
      </c>
      <c r="AB31" s="298">
        <v>3.88</v>
      </c>
      <c r="AC31" s="300">
        <v>1.1723567556586536</v>
      </c>
      <c r="AH31" s="46">
        <v>40756</v>
      </c>
      <c r="AI31" s="24">
        <v>1290391.2900000003</v>
      </c>
      <c r="AK31" s="297" t="s">
        <v>37</v>
      </c>
      <c r="AL31" s="302">
        <v>4.576364330981168</v>
      </c>
      <c r="AM31" s="298">
        <v>3.886</v>
      </c>
      <c r="AN31" s="735">
        <v>1.1776542282504292</v>
      </c>
      <c r="AS31" s="486" t="s">
        <v>36</v>
      </c>
      <c r="AT31" s="648">
        <v>394600</v>
      </c>
      <c r="AU31" s="648">
        <v>404190</v>
      </c>
      <c r="AV31" s="650">
        <v>-0.023726465276231474</v>
      </c>
      <c r="AW31" s="651">
        <v>783800</v>
      </c>
      <c r="AX31" s="654">
        <v>686925</v>
      </c>
      <c r="AY31" s="655">
        <v>0.14102704079775813</v>
      </c>
    </row>
    <row r="32" spans="1:51" ht="15">
      <c r="A32" s="46">
        <v>40787</v>
      </c>
      <c r="B32" s="24">
        <v>1839842.241666667</v>
      </c>
      <c r="C32" s="1"/>
      <c r="D32" s="1"/>
      <c r="E32" s="56" t="s">
        <v>39</v>
      </c>
      <c r="F32" s="61">
        <v>267770</v>
      </c>
      <c r="G32" s="61">
        <v>699870</v>
      </c>
      <c r="H32" s="61">
        <v>98460</v>
      </c>
      <c r="I32" s="61">
        <v>1066100</v>
      </c>
      <c r="J32" s="1"/>
      <c r="K32" s="236" t="s">
        <v>104</v>
      </c>
      <c r="L32" s="237" t="s">
        <v>44</v>
      </c>
      <c r="M32" s="237" t="s">
        <v>108</v>
      </c>
      <c r="N32" s="238" t="s">
        <v>46</v>
      </c>
      <c r="W32" s="46">
        <v>40787</v>
      </c>
      <c r="X32" s="24">
        <v>688587.3016666666</v>
      </c>
      <c r="Z32" s="297" t="s">
        <v>38</v>
      </c>
      <c r="AA32" s="302">
        <v>4.548210505490157</v>
      </c>
      <c r="AB32" s="298">
        <v>3.871</v>
      </c>
      <c r="AC32" s="300">
        <v>1.1749445893800459</v>
      </c>
      <c r="AH32" s="46">
        <v>40787</v>
      </c>
      <c r="AI32" s="24">
        <v>1151254.9400000002</v>
      </c>
      <c r="AK32" s="297" t="s">
        <v>38</v>
      </c>
      <c r="AL32" s="302">
        <v>4.577335868384293</v>
      </c>
      <c r="AM32" s="298">
        <v>3.891</v>
      </c>
      <c r="AN32" s="735">
        <v>1.1763906112527096</v>
      </c>
      <c r="AS32" s="486" t="s">
        <v>37</v>
      </c>
      <c r="AT32" s="648">
        <v>434148</v>
      </c>
      <c r="AU32" s="648">
        <v>430845</v>
      </c>
      <c r="AV32" s="356">
        <v>0.00766633011872019</v>
      </c>
      <c r="AW32" s="651">
        <v>876180</v>
      </c>
      <c r="AX32" s="654">
        <v>667470</v>
      </c>
      <c r="AY32" s="655">
        <v>0.31268821070609915</v>
      </c>
    </row>
    <row r="33" spans="1:51" ht="15">
      <c r="A33" s="46">
        <v>40817</v>
      </c>
      <c r="B33" s="24">
        <v>1551345.2300000002</v>
      </c>
      <c r="C33" s="1"/>
      <c r="D33" s="1"/>
      <c r="E33" s="56" t="s">
        <v>40</v>
      </c>
      <c r="F33" s="61">
        <v>248595</v>
      </c>
      <c r="G33" s="61">
        <v>631605</v>
      </c>
      <c r="H33" s="61">
        <v>105840</v>
      </c>
      <c r="I33" s="61">
        <v>986040</v>
      </c>
      <c r="J33" s="1"/>
      <c r="K33" s="236" t="s">
        <v>105</v>
      </c>
      <c r="L33" s="239">
        <v>2.71</v>
      </c>
      <c r="M33" s="237">
        <v>2.77</v>
      </c>
      <c r="N33" s="238">
        <v>2.32</v>
      </c>
      <c r="O33" s="309" t="s">
        <v>138</v>
      </c>
      <c r="P33" s="310" t="s">
        <v>44</v>
      </c>
      <c r="Q33" s="311" t="s">
        <v>108</v>
      </c>
      <c r="R33" s="310" t="s">
        <v>46</v>
      </c>
      <c r="S33" s="312" t="s">
        <v>143</v>
      </c>
      <c r="T33" s="131"/>
      <c r="U33" s="131"/>
      <c r="W33" s="46">
        <v>40817</v>
      </c>
      <c r="X33" s="24">
        <v>557605.2016666667</v>
      </c>
      <c r="Z33" s="297" t="s">
        <v>39</v>
      </c>
      <c r="AA33" s="302">
        <v>4.927691665286938</v>
      </c>
      <c r="AB33" s="298">
        <v>4.07</v>
      </c>
      <c r="AC33" s="300">
        <v>1.2107350528960534</v>
      </c>
      <c r="AH33" s="46">
        <v>40817</v>
      </c>
      <c r="AI33" s="24">
        <v>993740.0283333334</v>
      </c>
      <c r="AK33" s="297" t="s">
        <v>39</v>
      </c>
      <c r="AL33" s="302">
        <v>4.955995205187408</v>
      </c>
      <c r="AM33" s="298">
        <v>4.089</v>
      </c>
      <c r="AN33" s="735">
        <v>1.212031109118955</v>
      </c>
      <c r="AS33" s="486" t="s">
        <v>38</v>
      </c>
      <c r="AT33" s="648">
        <v>473616</v>
      </c>
      <c r="AU33" s="648">
        <v>454905</v>
      </c>
      <c r="AV33" s="356">
        <v>0.0411316648531012</v>
      </c>
      <c r="AW33" s="651">
        <v>834740</v>
      </c>
      <c r="AX33" s="654">
        <v>644300</v>
      </c>
      <c r="AY33" s="655">
        <v>0.29557659475399656</v>
      </c>
    </row>
    <row r="34" spans="1:51" ht="15">
      <c r="A34" s="46">
        <v>40848</v>
      </c>
      <c r="B34" s="24">
        <v>1239763.6616666666</v>
      </c>
      <c r="C34" s="1"/>
      <c r="D34" s="1"/>
      <c r="E34" s="56" t="s">
        <v>41</v>
      </c>
      <c r="F34" s="61">
        <v>156970</v>
      </c>
      <c r="G34" s="61">
        <v>410100</v>
      </c>
      <c r="H34" s="61">
        <v>56880</v>
      </c>
      <c r="I34" s="61">
        <v>623950</v>
      </c>
      <c r="J34" s="1"/>
      <c r="K34" s="236" t="s">
        <v>106</v>
      </c>
      <c r="L34" s="237">
        <v>0.69</v>
      </c>
      <c r="M34" s="237">
        <v>0.69</v>
      </c>
      <c r="N34" s="429">
        <v>0.4</v>
      </c>
      <c r="O34" s="313" t="s">
        <v>139</v>
      </c>
      <c r="P34" s="314">
        <v>1.0565302144249513</v>
      </c>
      <c r="Q34" s="314">
        <v>1.1996535296665223</v>
      </c>
      <c r="R34" s="314">
        <v>1.2210526315789474</v>
      </c>
      <c r="S34" s="315">
        <v>1.1590787918901404</v>
      </c>
      <c r="T34" s="229"/>
      <c r="U34" s="229"/>
      <c r="W34" s="46">
        <v>40848</v>
      </c>
      <c r="X34" s="24">
        <v>426126.1966666666</v>
      </c>
      <c r="Z34" s="297" t="s">
        <v>40</v>
      </c>
      <c r="AA34" s="302">
        <v>4.917606974191087</v>
      </c>
      <c r="AB34" s="298">
        <v>4.067</v>
      </c>
      <c r="AC34" s="300">
        <v>1.2091485060710812</v>
      </c>
      <c r="AH34" s="46">
        <v>40848</v>
      </c>
      <c r="AI34" s="24">
        <v>813637.465</v>
      </c>
      <c r="AK34" s="297" t="s">
        <v>40</v>
      </c>
      <c r="AL34" s="302">
        <v>4.935912196010566</v>
      </c>
      <c r="AM34" s="298">
        <v>3.884</v>
      </c>
      <c r="AN34" s="735">
        <v>1.2708321822890232</v>
      </c>
      <c r="AS34" s="486" t="s">
        <v>39</v>
      </c>
      <c r="AT34" s="648">
        <v>445428</v>
      </c>
      <c r="AU34" s="648">
        <v>444595</v>
      </c>
      <c r="AV34" s="356">
        <v>0.0018736153128127847</v>
      </c>
      <c r="AW34" s="651">
        <v>836810</v>
      </c>
      <c r="AX34" s="654">
        <v>621505</v>
      </c>
      <c r="AY34" s="655">
        <v>0.3464252097730509</v>
      </c>
    </row>
    <row r="35" spans="1:51" ht="15">
      <c r="A35" s="46">
        <v>40878</v>
      </c>
      <c r="B35" s="24">
        <v>1164608.195</v>
      </c>
      <c r="C35" s="1"/>
      <c r="D35" s="1"/>
      <c r="E35" s="56" t="s">
        <v>42</v>
      </c>
      <c r="F35" s="61">
        <v>154825</v>
      </c>
      <c r="G35" s="61">
        <v>402450</v>
      </c>
      <c r="H35" s="61">
        <v>61020</v>
      </c>
      <c r="I35" s="61">
        <v>618295</v>
      </c>
      <c r="J35" s="1"/>
      <c r="K35" s="236" t="s">
        <v>107</v>
      </c>
      <c r="L35" s="424">
        <v>1.6</v>
      </c>
      <c r="M35" s="424">
        <v>1.6</v>
      </c>
      <c r="N35" s="429">
        <v>1.3</v>
      </c>
      <c r="O35" s="316" t="s">
        <v>140</v>
      </c>
      <c r="P35" s="314">
        <v>1.7249999999999999</v>
      </c>
      <c r="Q35" s="314">
        <v>1.0518292682926829</v>
      </c>
      <c r="R35" s="314">
        <v>1.3333333333333335</v>
      </c>
      <c r="S35" s="315">
        <v>1.370054200542005</v>
      </c>
      <c r="T35" s="229"/>
      <c r="U35" s="229"/>
      <c r="W35" s="46">
        <v>40878</v>
      </c>
      <c r="X35" s="24">
        <v>504952.3116666667</v>
      </c>
      <c r="Z35" s="297" t="s">
        <v>41</v>
      </c>
      <c r="AA35" s="302">
        <v>4.923550716978776</v>
      </c>
      <c r="AB35" s="298">
        <v>4.081</v>
      </c>
      <c r="AC35" s="300">
        <v>1.206456926483405</v>
      </c>
      <c r="AH35" s="46">
        <v>40878</v>
      </c>
      <c r="AI35" s="24">
        <v>728675.295</v>
      </c>
      <c r="AK35" s="297" t="s">
        <v>41</v>
      </c>
      <c r="AL35" s="302">
        <v>4.957996463046202</v>
      </c>
      <c r="AM35" s="298">
        <v>3.912</v>
      </c>
      <c r="AN35" s="735">
        <v>1.2673815089586407</v>
      </c>
      <c r="AS35" s="486" t="s">
        <v>40</v>
      </c>
      <c r="AT35" s="648">
        <v>440552</v>
      </c>
      <c r="AU35" s="648">
        <v>437090</v>
      </c>
      <c r="AV35" s="356">
        <v>0.007920565558580613</v>
      </c>
      <c r="AW35" s="651">
        <v>675220</v>
      </c>
      <c r="AX35" s="654">
        <v>548950</v>
      </c>
      <c r="AY35" s="655">
        <v>0.2300209490846161</v>
      </c>
    </row>
    <row r="36" spans="1:51" ht="15">
      <c r="A36" s="13" t="s">
        <v>27</v>
      </c>
      <c r="B36" s="48">
        <v>18524109.91</v>
      </c>
      <c r="C36" s="1"/>
      <c r="D36" s="1"/>
      <c r="E36" s="57" t="s">
        <v>43</v>
      </c>
      <c r="F36" s="61">
        <v>147755</v>
      </c>
      <c r="G36" s="61">
        <v>379140</v>
      </c>
      <c r="H36" s="61">
        <v>61380</v>
      </c>
      <c r="I36" s="61">
        <v>588275</v>
      </c>
      <c r="J36" s="1"/>
      <c r="K36" s="240" t="s">
        <v>109</v>
      </c>
      <c r="L36" s="241">
        <v>5</v>
      </c>
      <c r="M36" s="242">
        <v>5.0600000000000005</v>
      </c>
      <c r="N36" s="243">
        <v>4.02</v>
      </c>
      <c r="O36" s="317" t="s">
        <v>107</v>
      </c>
      <c r="P36" s="314">
        <v>1.3333333333333335</v>
      </c>
      <c r="Q36" s="314">
        <v>1.3333333333333335</v>
      </c>
      <c r="R36" s="314">
        <v>1.3</v>
      </c>
      <c r="S36" s="315">
        <v>1.3222222222222222</v>
      </c>
      <c r="T36" s="229"/>
      <c r="U36" s="229"/>
      <c r="W36" s="13" t="s">
        <v>27</v>
      </c>
      <c r="X36" s="48"/>
      <c r="Z36" s="297" t="s">
        <v>42</v>
      </c>
      <c r="AA36" s="302">
        <v>4.9100535084102415</v>
      </c>
      <c r="AB36" s="298">
        <v>4.079</v>
      </c>
      <c r="AC36" s="300">
        <v>1.2037395215519102</v>
      </c>
      <c r="AH36" s="13" t="s">
        <v>27</v>
      </c>
      <c r="AI36" s="48"/>
      <c r="AK36" s="297" t="s">
        <v>42</v>
      </c>
      <c r="AL36" s="302">
        <v>4.952068822452715</v>
      </c>
      <c r="AM36" s="298">
        <v>4.113</v>
      </c>
      <c r="AN36" s="735">
        <v>1.204004090068737</v>
      </c>
      <c r="AS36" s="486" t="s">
        <v>41</v>
      </c>
      <c r="AT36" s="648">
        <v>314022</v>
      </c>
      <c r="AU36" s="648">
        <v>216820</v>
      </c>
      <c r="AV36" s="356">
        <v>0.448307351720321</v>
      </c>
      <c r="AW36" s="651">
        <v>677620</v>
      </c>
      <c r="AX36" s="654">
        <v>407130</v>
      </c>
      <c r="AY36" s="655">
        <v>0.664382384005109</v>
      </c>
    </row>
    <row r="37" spans="6:51" ht="15">
      <c r="F37" s="62">
        <v>2451550</v>
      </c>
      <c r="G37" s="62">
        <v>5991315</v>
      </c>
      <c r="H37" s="62">
        <v>806040</v>
      </c>
      <c r="I37" s="62">
        <v>9248905</v>
      </c>
      <c r="K37" s="210" t="s">
        <v>187</v>
      </c>
      <c r="L37" s="211"/>
      <c r="M37" s="212"/>
      <c r="Q37" s="229"/>
      <c r="R37" s="229"/>
      <c r="S37" s="229"/>
      <c r="T37" s="229"/>
      <c r="U37" s="229"/>
      <c r="Z37" s="297" t="s">
        <v>43</v>
      </c>
      <c r="AA37" s="302">
        <v>4.892941035807659</v>
      </c>
      <c r="AB37" s="298">
        <v>4.071</v>
      </c>
      <c r="AC37" s="300">
        <v>1.2019015071991301</v>
      </c>
      <c r="AK37" s="297" t="s">
        <v>43</v>
      </c>
      <c r="AL37" s="302">
        <v>4.950687320711418</v>
      </c>
      <c r="AM37" s="298">
        <v>4.111</v>
      </c>
      <c r="AN37" s="735">
        <v>1.2042537875727117</v>
      </c>
      <c r="AS37" s="486" t="s">
        <v>42</v>
      </c>
      <c r="AT37" s="648">
        <v>317959</v>
      </c>
      <c r="AU37" s="648">
        <v>208545</v>
      </c>
      <c r="AV37" s="356">
        <v>0.5246541513821957</v>
      </c>
      <c r="AW37" s="651">
        <v>582200</v>
      </c>
      <c r="AX37" s="654">
        <v>409750</v>
      </c>
      <c r="AY37" s="655">
        <v>0.4208663819402074</v>
      </c>
    </row>
    <row r="38" spans="7:51" ht="15">
      <c r="G38" s="58"/>
      <c r="H38" s="58"/>
      <c r="I38" s="58"/>
      <c r="J38" s="58"/>
      <c r="K38" s="215" t="s">
        <v>44</v>
      </c>
      <c r="L38" s="217" t="s">
        <v>108</v>
      </c>
      <c r="M38" s="215" t="s">
        <v>46</v>
      </c>
      <c r="O38" s="512"/>
      <c r="Q38" s="229"/>
      <c r="R38" s="229"/>
      <c r="S38" s="230"/>
      <c r="T38" s="229"/>
      <c r="U38" s="229"/>
      <c r="AS38" s="218" t="s">
        <v>43</v>
      </c>
      <c r="AT38" s="648">
        <v>340080</v>
      </c>
      <c r="AU38" s="648">
        <v>196100</v>
      </c>
      <c r="AV38" s="356">
        <v>0.7342172361040286</v>
      </c>
      <c r="AW38" s="651">
        <v>545930</v>
      </c>
      <c r="AX38" s="654">
        <v>392175</v>
      </c>
      <c r="AY38" s="655">
        <v>0.39205711735832216</v>
      </c>
    </row>
    <row r="39" spans="7:51" ht="15">
      <c r="G39" s="58"/>
      <c r="H39" s="58"/>
      <c r="I39" s="58"/>
      <c r="J39" s="58"/>
      <c r="K39" s="216">
        <v>4.6</v>
      </c>
      <c r="L39" s="517">
        <v>4.66</v>
      </c>
      <c r="M39" s="518">
        <v>3.7199999999999998</v>
      </c>
      <c r="O39" s="511"/>
      <c r="P39" s="94"/>
      <c r="Q39" s="229"/>
      <c r="R39" s="229"/>
      <c r="S39" s="230"/>
      <c r="T39" s="229"/>
      <c r="U39" s="229"/>
      <c r="AS39" s="898" t="s">
        <v>25</v>
      </c>
      <c r="AT39" s="899">
        <v>347214.5833333333</v>
      </c>
      <c r="AU39" s="876">
        <v>293626.25</v>
      </c>
      <c r="AV39" s="864">
        <v>0.1825052539864311</v>
      </c>
      <c r="AW39" s="876">
        <v>650443.3333333334</v>
      </c>
      <c r="AX39" s="876">
        <v>477115.8333333333</v>
      </c>
      <c r="AY39" s="864">
        <v>0.36328180263702575</v>
      </c>
    </row>
    <row r="40" spans="7:51" ht="15">
      <c r="G40" s="58"/>
      <c r="H40" s="58"/>
      <c r="I40" s="58"/>
      <c r="J40" s="58"/>
      <c r="K40" s="203" t="s">
        <v>186</v>
      </c>
      <c r="L40" s="208"/>
      <c r="M40" s="209"/>
      <c r="O40" s="511"/>
      <c r="P40" s="94"/>
      <c r="Q40" s="229"/>
      <c r="R40" s="229"/>
      <c r="S40" s="230"/>
      <c r="T40" s="229"/>
      <c r="U40" s="229"/>
      <c r="AS40" s="898"/>
      <c r="AT40" s="900"/>
      <c r="AU40" s="876"/>
      <c r="AV40" s="864"/>
      <c r="AW40" s="876"/>
      <c r="AX40" s="876"/>
      <c r="AY40" s="864"/>
    </row>
    <row r="41" spans="1:21" ht="15">
      <c r="A41" s="47"/>
      <c r="B41" s="47"/>
      <c r="C41" s="51"/>
      <c r="D41" s="51"/>
      <c r="E41" s="51"/>
      <c r="F41" s="51"/>
      <c r="G41" s="51"/>
      <c r="H41" s="52"/>
      <c r="I41" s="51"/>
      <c r="J41" s="51"/>
      <c r="K41" s="213" t="s">
        <v>44</v>
      </c>
      <c r="L41" s="214" t="s">
        <v>45</v>
      </c>
      <c r="M41" s="213" t="s">
        <v>46</v>
      </c>
      <c r="O41" s="511"/>
      <c r="P41" s="94"/>
      <c r="Q41" s="229"/>
      <c r="R41" s="229"/>
      <c r="S41" s="230"/>
      <c r="T41" s="229"/>
      <c r="U41" s="229"/>
    </row>
    <row r="42" spans="1:21" ht="18">
      <c r="A42" s="47"/>
      <c r="B42" s="47"/>
      <c r="C42" s="51"/>
      <c r="D42" s="51"/>
      <c r="E42" s="51"/>
      <c r="F42" s="51"/>
      <c r="G42" s="87"/>
      <c r="H42" s="53"/>
      <c r="I42" s="53"/>
      <c r="J42" s="51"/>
      <c r="K42" s="439">
        <v>5</v>
      </c>
      <c r="L42" s="440">
        <v>5.0600000000000005</v>
      </c>
      <c r="M42" s="439">
        <v>4.02</v>
      </c>
      <c r="O42" s="634">
        <v>0.14500000000000002</v>
      </c>
      <c r="P42" s="635">
        <v>0.46099999999999985</v>
      </c>
      <c r="Q42" s="636">
        <v>0.41999999999999993</v>
      </c>
      <c r="R42" s="229"/>
      <c r="S42" s="230"/>
      <c r="T42" s="229"/>
      <c r="U42" s="229"/>
    </row>
    <row r="43" spans="1:21" ht="15">
      <c r="A43" s="885" t="s">
        <v>228</v>
      </c>
      <c r="B43" s="886"/>
      <c r="C43" s="886"/>
      <c r="D43" s="887"/>
      <c r="E43" s="51"/>
      <c r="F43" s="51"/>
      <c r="G43" s="51"/>
      <c r="H43" s="53"/>
      <c r="I43" s="51"/>
      <c r="J43" s="51"/>
      <c r="O43" s="511"/>
      <c r="P43" s="94"/>
      <c r="Q43" s="229"/>
      <c r="R43" s="229"/>
      <c r="S43" s="230"/>
      <c r="T43" s="229"/>
      <c r="U43" s="229"/>
    </row>
    <row r="44" spans="1:21" ht="15" customHeight="1">
      <c r="A44" s="888"/>
      <c r="B44" s="889"/>
      <c r="C44" s="889"/>
      <c r="D44" s="890"/>
      <c r="G44" s="894" t="s">
        <v>97</v>
      </c>
      <c r="H44" s="895"/>
      <c r="I44" s="895"/>
      <c r="J44" s="895"/>
      <c r="K44" s="895"/>
      <c r="L44" s="895"/>
      <c r="M44" s="896"/>
      <c r="O44" s="510"/>
      <c r="P44" s="94"/>
      <c r="Q44" s="229"/>
      <c r="R44" s="229"/>
      <c r="S44" s="230"/>
      <c r="T44" s="229"/>
      <c r="U44" s="229"/>
    </row>
    <row r="45" spans="1:21" ht="15">
      <c r="A45" s="891"/>
      <c r="B45" s="892"/>
      <c r="C45" s="892"/>
      <c r="D45" s="893"/>
      <c r="G45" s="894" t="s">
        <v>296</v>
      </c>
      <c r="H45" s="895"/>
      <c r="I45" s="895"/>
      <c r="J45" s="895"/>
      <c r="K45" s="895"/>
      <c r="L45" s="895"/>
      <c r="M45" s="896"/>
      <c r="N45" s="920" t="s">
        <v>297</v>
      </c>
      <c r="O45" s="921"/>
      <c r="P45" s="921"/>
      <c r="Q45" s="922"/>
      <c r="R45" s="707"/>
      <c r="S45" s="707"/>
      <c r="T45" s="707"/>
      <c r="U45" s="229"/>
    </row>
    <row r="46" spans="1:18" ht="15">
      <c r="A46" s="296" t="s">
        <v>5</v>
      </c>
      <c r="B46" s="301" t="s">
        <v>29</v>
      </c>
      <c r="C46" s="296" t="s">
        <v>30</v>
      </c>
      <c r="D46" s="299" t="s">
        <v>31</v>
      </c>
      <c r="G46" s="13" t="s">
        <v>81</v>
      </c>
      <c r="H46" s="54" t="s">
        <v>48</v>
      </c>
      <c r="I46" s="50" t="s">
        <v>49</v>
      </c>
      <c r="J46" s="50" t="s">
        <v>50</v>
      </c>
      <c r="K46" s="50" t="s">
        <v>51</v>
      </c>
      <c r="L46" s="50" t="s">
        <v>52</v>
      </c>
      <c r="M46" s="54" t="s">
        <v>53</v>
      </c>
      <c r="N46" s="50" t="s">
        <v>295</v>
      </c>
      <c r="O46" s="50" t="s">
        <v>50</v>
      </c>
      <c r="P46" s="50" t="s">
        <v>52</v>
      </c>
      <c r="Q46" s="54" t="s">
        <v>53</v>
      </c>
      <c r="R46" s="11" t="s">
        <v>294</v>
      </c>
    </row>
    <row r="47" spans="1:18" ht="15">
      <c r="A47" s="297" t="s">
        <v>32</v>
      </c>
      <c r="B47" s="302">
        <v>4.5638475301790296</v>
      </c>
      <c r="C47" s="298">
        <v>3.9061902533753647</v>
      </c>
      <c r="D47" s="300">
        <v>1.168362837994227</v>
      </c>
      <c r="E47" s="295"/>
      <c r="F47" s="295"/>
      <c r="G47" s="65" t="s">
        <v>70</v>
      </c>
      <c r="H47" s="66" t="s">
        <v>32</v>
      </c>
      <c r="I47" s="67">
        <v>622516.8150000001</v>
      </c>
      <c r="J47" s="68">
        <v>622539.3450000001</v>
      </c>
      <c r="K47" s="18">
        <v>-22.53000000002794</v>
      </c>
      <c r="L47" s="77" t="s">
        <v>54</v>
      </c>
      <c r="M47" s="69" t="s">
        <v>55</v>
      </c>
      <c r="N47" s="711">
        <v>100966.13499999998</v>
      </c>
      <c r="O47" s="68">
        <v>101031.88</v>
      </c>
      <c r="P47" s="77" t="s">
        <v>292</v>
      </c>
      <c r="Q47" s="69" t="s">
        <v>293</v>
      </c>
      <c r="R47" s="712">
        <v>723571.2250000001</v>
      </c>
    </row>
    <row r="48" spans="1:18" ht="15">
      <c r="A48" s="297" t="s">
        <v>33</v>
      </c>
      <c r="B48" s="302">
        <v>4.57273671675636</v>
      </c>
      <c r="C48" s="298">
        <v>3.914120045703022</v>
      </c>
      <c r="D48" s="300">
        <v>1.1682668552223832</v>
      </c>
      <c r="E48" s="295"/>
      <c r="F48" s="295"/>
      <c r="G48" s="70" t="s">
        <v>71</v>
      </c>
      <c r="H48" s="71" t="s">
        <v>33</v>
      </c>
      <c r="I48" s="72">
        <v>741123.99</v>
      </c>
      <c r="J48" s="20">
        <v>721507.47</v>
      </c>
      <c r="K48" s="23">
        <v>19616.52000000002</v>
      </c>
      <c r="L48" s="74" t="s">
        <v>56</v>
      </c>
      <c r="M48" s="14" t="s">
        <v>57</v>
      </c>
      <c r="N48" s="709">
        <v>118545.10999999993</v>
      </c>
      <c r="O48" s="20">
        <v>18447.1</v>
      </c>
      <c r="P48" s="74" t="s">
        <v>292</v>
      </c>
      <c r="Q48" s="14" t="s">
        <v>293</v>
      </c>
      <c r="R48" s="712">
        <v>739954.57</v>
      </c>
    </row>
    <row r="49" spans="1:18" ht="15">
      <c r="A49" s="297" t="s">
        <v>34</v>
      </c>
      <c r="B49" s="302">
        <v>4.566728103360178</v>
      </c>
      <c r="C49" s="298">
        <v>3.912759540291456</v>
      </c>
      <c r="D49" s="300">
        <v>1.1671374272644437</v>
      </c>
      <c r="E49" s="295"/>
      <c r="F49" s="295"/>
      <c r="G49" s="70" t="s">
        <v>72</v>
      </c>
      <c r="H49" s="71" t="s">
        <v>58</v>
      </c>
      <c r="I49" s="72">
        <v>874867.905</v>
      </c>
      <c r="J49" s="20">
        <v>742709.05</v>
      </c>
      <c r="K49" s="23">
        <v>132158.85499999998</v>
      </c>
      <c r="L49" s="74" t="s">
        <v>59</v>
      </c>
      <c r="M49" s="73">
        <v>41064</v>
      </c>
      <c r="N49" s="709">
        <v>141660.54499999995</v>
      </c>
      <c r="O49" s="20">
        <v>25847.52</v>
      </c>
      <c r="P49" s="74" t="s">
        <v>292</v>
      </c>
      <c r="Q49" s="14" t="s">
        <v>293</v>
      </c>
      <c r="R49" s="712">
        <v>768556.5700000001</v>
      </c>
    </row>
    <row r="50" spans="1:19" ht="15.75" thickBot="1">
      <c r="A50" s="297" t="s">
        <v>35</v>
      </c>
      <c r="B50" s="302">
        <v>4.571679068838737</v>
      </c>
      <c r="C50" s="298">
        <v>3.903860689562816</v>
      </c>
      <c r="D50" s="300">
        <v>1.1710661400037583</v>
      </c>
      <c r="E50" s="295"/>
      <c r="F50" s="295"/>
      <c r="G50" s="70" t="s">
        <v>73</v>
      </c>
      <c r="H50" s="71" t="s">
        <v>60</v>
      </c>
      <c r="I50" s="72">
        <v>921884.175</v>
      </c>
      <c r="J50" s="20">
        <v>921918.7250000001</v>
      </c>
      <c r="K50" s="23">
        <v>-34.550000000046566</v>
      </c>
      <c r="L50" s="74" t="s">
        <v>61</v>
      </c>
      <c r="M50" s="73">
        <v>41067</v>
      </c>
      <c r="N50" s="709">
        <v>151317.07499999995</v>
      </c>
      <c r="O50" s="20">
        <v>151408.95</v>
      </c>
      <c r="P50" s="74" t="s">
        <v>292</v>
      </c>
      <c r="Q50" s="14" t="s">
        <v>293</v>
      </c>
      <c r="R50" s="712">
        <v>1073327.675</v>
      </c>
      <c r="S50" s="94"/>
    </row>
    <row r="51" spans="1:52" ht="15" customHeight="1">
      <c r="A51" s="297" t="s">
        <v>36</v>
      </c>
      <c r="B51" s="302">
        <v>4.565558862383938</v>
      </c>
      <c r="C51" s="298">
        <v>3.881062988105538</v>
      </c>
      <c r="D51" s="300">
        <v>1.1763681435669053</v>
      </c>
      <c r="E51" s="295"/>
      <c r="F51" s="295"/>
      <c r="G51" s="70" t="s">
        <v>74</v>
      </c>
      <c r="H51" s="71" t="s">
        <v>36</v>
      </c>
      <c r="I51" s="72">
        <v>1614395.925</v>
      </c>
      <c r="J51" s="20">
        <v>1159948.568747491</v>
      </c>
      <c r="K51" s="23">
        <v>454447.35625250894</v>
      </c>
      <c r="L51" s="74" t="s">
        <v>62</v>
      </c>
      <c r="M51" s="73">
        <v>41114</v>
      </c>
      <c r="N51" s="709">
        <v>256701.82499999995</v>
      </c>
      <c r="O51" s="20">
        <v>135955.39</v>
      </c>
      <c r="P51" s="74" t="s">
        <v>292</v>
      </c>
      <c r="Q51" s="14" t="s">
        <v>293</v>
      </c>
      <c r="R51" s="712">
        <v>1295903.9587474912</v>
      </c>
      <c r="AF51" s="932" t="s">
        <v>153</v>
      </c>
      <c r="AG51" s="933"/>
      <c r="AH51" s="933"/>
      <c r="AI51" s="933"/>
      <c r="AJ51" s="933"/>
      <c r="AK51" s="933"/>
      <c r="AL51" s="933"/>
      <c r="AM51" s="933"/>
      <c r="AN51" s="933"/>
      <c r="AO51" s="933"/>
      <c r="AP51" s="933"/>
      <c r="AQ51" s="933"/>
      <c r="AR51" s="933"/>
      <c r="AS51" s="933"/>
      <c r="AT51" s="933"/>
      <c r="AU51" s="933"/>
      <c r="AV51" s="933"/>
      <c r="AW51" s="933"/>
      <c r="AX51" s="933"/>
      <c r="AY51" s="933"/>
      <c r="AZ51" s="934"/>
    </row>
    <row r="52" spans="1:52" ht="15" customHeight="1" thickBot="1">
      <c r="A52" s="297" t="s">
        <v>37</v>
      </c>
      <c r="B52" s="302">
        <v>4.562554271468372</v>
      </c>
      <c r="C52" s="298">
        <v>3.883721379125633</v>
      </c>
      <c r="D52" s="300">
        <v>1.174789287406495</v>
      </c>
      <c r="E52" s="295"/>
      <c r="F52" s="295"/>
      <c r="G52" s="78" t="s">
        <v>75</v>
      </c>
      <c r="H52" s="82" t="s">
        <v>37</v>
      </c>
      <c r="I52" s="72">
        <v>1564576.11</v>
      </c>
      <c r="J52" s="20">
        <v>1334134.3541178794</v>
      </c>
      <c r="K52" s="23">
        <v>230441.7558821207</v>
      </c>
      <c r="L52" s="80" t="s">
        <v>63</v>
      </c>
      <c r="M52" s="81">
        <v>41134</v>
      </c>
      <c r="N52" s="709">
        <v>252305.49</v>
      </c>
      <c r="O52" s="20">
        <v>156922.61</v>
      </c>
      <c r="P52" s="74" t="s">
        <v>292</v>
      </c>
      <c r="Q52" s="14" t="s">
        <v>293</v>
      </c>
      <c r="R52" s="712">
        <v>1491056.9641178795</v>
      </c>
      <c r="AF52" s="935"/>
      <c r="AG52" s="936"/>
      <c r="AH52" s="936"/>
      <c r="AI52" s="936"/>
      <c r="AJ52" s="936"/>
      <c r="AK52" s="936"/>
      <c r="AL52" s="936"/>
      <c r="AM52" s="936"/>
      <c r="AN52" s="936"/>
      <c r="AO52" s="936"/>
      <c r="AP52" s="936"/>
      <c r="AQ52" s="936"/>
      <c r="AR52" s="936"/>
      <c r="AS52" s="936"/>
      <c r="AT52" s="936"/>
      <c r="AU52" s="936"/>
      <c r="AV52" s="936"/>
      <c r="AW52" s="936"/>
      <c r="AX52" s="936"/>
      <c r="AY52" s="936"/>
      <c r="AZ52" s="937"/>
    </row>
    <row r="53" spans="1:56" ht="15" customHeight="1" thickBot="1">
      <c r="A53" s="297" t="s">
        <v>38</v>
      </c>
      <c r="B53" s="302">
        <v>4.562773186937225</v>
      </c>
      <c r="C53" s="298">
        <v>3.883404597085442</v>
      </c>
      <c r="D53" s="300">
        <v>1.1749414908664577</v>
      </c>
      <c r="E53" s="295"/>
      <c r="F53" s="295"/>
      <c r="G53" s="656" t="s">
        <v>265</v>
      </c>
      <c r="H53" s="85" t="s">
        <v>38</v>
      </c>
      <c r="I53" s="72">
        <v>1503319.86</v>
      </c>
      <c r="J53" s="20">
        <v>1522956.31</v>
      </c>
      <c r="K53" s="23">
        <v>-19636.449999999953</v>
      </c>
      <c r="L53" s="95" t="s">
        <v>79</v>
      </c>
      <c r="M53" s="81">
        <v>41166</v>
      </c>
      <c r="N53" s="709">
        <v>251591.83999999985</v>
      </c>
      <c r="O53" s="20"/>
      <c r="P53" s="95"/>
      <c r="Q53" s="81"/>
      <c r="R53" s="712">
        <v>1522956.31</v>
      </c>
      <c r="U53" s="915" t="s">
        <v>135</v>
      </c>
      <c r="V53" s="916"/>
      <c r="W53" s="916"/>
      <c r="X53" s="916"/>
      <c r="Y53" s="916"/>
      <c r="Z53" s="916"/>
      <c r="AA53" s="916"/>
      <c r="AB53" s="916"/>
      <c r="AC53" s="917"/>
      <c r="AF53" s="914" t="s">
        <v>149</v>
      </c>
      <c r="AG53" s="778"/>
      <c r="AH53" s="778"/>
      <c r="AI53" s="778"/>
      <c r="AJ53" s="778"/>
      <c r="AK53" s="779"/>
      <c r="AL53" s="790" t="s">
        <v>150</v>
      </c>
      <c r="AM53" s="778"/>
      <c r="AN53" s="778"/>
      <c r="AO53" s="778"/>
      <c r="AP53" s="778"/>
      <c r="AQ53" s="779"/>
      <c r="AR53" s="777" t="s">
        <v>151</v>
      </c>
      <c r="AS53" s="778"/>
      <c r="AT53" s="778"/>
      <c r="AU53" s="778"/>
      <c r="AV53" s="778"/>
      <c r="AW53" s="779"/>
      <c r="AX53" s="856" t="s">
        <v>158</v>
      </c>
      <c r="AY53" s="786" t="s">
        <v>159</v>
      </c>
      <c r="AZ53" s="783" t="s">
        <v>160</v>
      </c>
      <c r="BA53" s="788" t="s">
        <v>161</v>
      </c>
      <c r="BB53" s="789" t="s">
        <v>162</v>
      </c>
      <c r="BC53" s="787" t="s">
        <v>163</v>
      </c>
      <c r="BD53" s="774" t="s">
        <v>166</v>
      </c>
    </row>
    <row r="54" spans="1:56" ht="19.5" customHeight="1">
      <c r="A54" s="297" t="s">
        <v>39</v>
      </c>
      <c r="B54" s="302">
        <v>4.941843435237173</v>
      </c>
      <c r="C54" s="298">
        <v>4.081784367231171</v>
      </c>
      <c r="D54" s="300">
        <v>1.2107066397016493</v>
      </c>
      <c r="E54" s="295"/>
      <c r="F54" s="295"/>
      <c r="G54" s="656" t="s">
        <v>268</v>
      </c>
      <c r="H54" s="85" t="s">
        <v>39</v>
      </c>
      <c r="I54" s="72">
        <v>1689107.95</v>
      </c>
      <c r="J54" s="20">
        <v>1561980.82</v>
      </c>
      <c r="K54" s="23">
        <v>127127.12999999989</v>
      </c>
      <c r="L54" s="95" t="s">
        <v>281</v>
      </c>
      <c r="M54" s="81">
        <v>41214</v>
      </c>
      <c r="N54" s="709">
        <v>0</v>
      </c>
      <c r="O54" s="20"/>
      <c r="P54" s="95"/>
      <c r="Q54" s="81"/>
      <c r="R54" s="712">
        <v>1561980.82</v>
      </c>
      <c r="U54" s="927" t="s">
        <v>8</v>
      </c>
      <c r="V54" s="928"/>
      <c r="W54" s="929"/>
      <c r="X54" s="930" t="s">
        <v>97</v>
      </c>
      <c r="Y54" s="928"/>
      <c r="Z54" s="929"/>
      <c r="AA54" s="931" t="s">
        <v>131</v>
      </c>
      <c r="AB54" s="928"/>
      <c r="AC54" s="929"/>
      <c r="AF54" s="859" t="s">
        <v>145</v>
      </c>
      <c r="AG54" s="859" t="s">
        <v>146</v>
      </c>
      <c r="AH54" s="859" t="s">
        <v>147</v>
      </c>
      <c r="AI54" s="859" t="s">
        <v>148</v>
      </c>
      <c r="AJ54" s="859" t="s">
        <v>152</v>
      </c>
      <c r="AK54" s="859" t="s">
        <v>84</v>
      </c>
      <c r="AL54" s="791" t="s">
        <v>145</v>
      </c>
      <c r="AM54" s="791" t="s">
        <v>146</v>
      </c>
      <c r="AN54" s="791" t="s">
        <v>147</v>
      </c>
      <c r="AO54" s="791" t="s">
        <v>148</v>
      </c>
      <c r="AP54" s="791" t="s">
        <v>152</v>
      </c>
      <c r="AQ54" s="791" t="s">
        <v>84</v>
      </c>
      <c r="AR54" s="780" t="s">
        <v>145</v>
      </c>
      <c r="AS54" s="782" t="s">
        <v>146</v>
      </c>
      <c r="AT54" s="782" t="s">
        <v>147</v>
      </c>
      <c r="AU54" s="782" t="s">
        <v>148</v>
      </c>
      <c r="AV54" s="782" t="s">
        <v>152</v>
      </c>
      <c r="AW54" s="782" t="s">
        <v>84</v>
      </c>
      <c r="AX54" s="857"/>
      <c r="AY54" s="775"/>
      <c r="AZ54" s="784"/>
      <c r="BA54" s="775"/>
      <c r="BB54" s="775"/>
      <c r="BC54" s="775"/>
      <c r="BD54" s="775"/>
    </row>
    <row r="55" spans="1:56" ht="15" customHeight="1">
      <c r="A55" s="297" t="s">
        <v>40</v>
      </c>
      <c r="B55" s="302">
        <v>4.926759585100827</v>
      </c>
      <c r="C55" s="298">
        <v>3.9534979366682026</v>
      </c>
      <c r="D55" s="300">
        <v>1.2461773507975666</v>
      </c>
      <c r="E55" s="295"/>
      <c r="F55" s="295"/>
      <c r="G55" s="656" t="s">
        <v>269</v>
      </c>
      <c r="H55" s="85" t="s">
        <v>40</v>
      </c>
      <c r="I55" s="72">
        <v>1487094.7000000002</v>
      </c>
      <c r="J55" s="20">
        <v>1379228.8</v>
      </c>
      <c r="K55" s="23">
        <v>107865.90000000014</v>
      </c>
      <c r="L55" s="95" t="s">
        <v>279</v>
      </c>
      <c r="M55" s="81">
        <v>41225</v>
      </c>
      <c r="N55" s="709">
        <v>0</v>
      </c>
      <c r="O55" s="20"/>
      <c r="P55" s="95"/>
      <c r="Q55" s="81"/>
      <c r="R55" s="712">
        <v>1379228.8</v>
      </c>
      <c r="U55" s="199">
        <v>2011</v>
      </c>
      <c r="V55" s="199">
        <v>2012</v>
      </c>
      <c r="W55" s="199" t="s">
        <v>0</v>
      </c>
      <c r="X55" s="199">
        <v>2011</v>
      </c>
      <c r="Y55" s="199">
        <v>2012</v>
      </c>
      <c r="Z55" s="199" t="s">
        <v>0</v>
      </c>
      <c r="AA55" s="199">
        <v>2011</v>
      </c>
      <c r="AB55" s="199">
        <v>2012</v>
      </c>
      <c r="AC55" s="199" t="s">
        <v>0</v>
      </c>
      <c r="AF55" s="776"/>
      <c r="AG55" s="776"/>
      <c r="AH55" s="776"/>
      <c r="AI55" s="776"/>
      <c r="AJ55" s="776"/>
      <c r="AK55" s="776"/>
      <c r="AL55" s="776"/>
      <c r="AM55" s="776"/>
      <c r="AN55" s="776"/>
      <c r="AO55" s="776"/>
      <c r="AP55" s="776"/>
      <c r="AQ55" s="776"/>
      <c r="AR55" s="781"/>
      <c r="AS55" s="781"/>
      <c r="AT55" s="781"/>
      <c r="AU55" s="781"/>
      <c r="AV55" s="781"/>
      <c r="AW55" s="781"/>
      <c r="AX55" s="858"/>
      <c r="AY55" s="776"/>
      <c r="AZ55" s="785"/>
      <c r="BA55" s="776"/>
      <c r="BB55" s="776"/>
      <c r="BC55" s="776"/>
      <c r="BD55" s="776"/>
    </row>
    <row r="56" spans="1:57" ht="15" customHeight="1">
      <c r="A56" s="297" t="s">
        <v>41</v>
      </c>
      <c r="B56" s="302">
        <v>4.940773590012489</v>
      </c>
      <c r="C56" s="298">
        <v>3.976181154628012</v>
      </c>
      <c r="D56" s="300">
        <v>1.2425926782188368</v>
      </c>
      <c r="G56" s="656" t="s">
        <v>264</v>
      </c>
      <c r="H56" s="85" t="s">
        <v>41</v>
      </c>
      <c r="I56" s="72">
        <v>1106611.8</v>
      </c>
      <c r="J56" s="20">
        <v>1187322.48</v>
      </c>
      <c r="K56" s="23">
        <v>-80710.67999999993</v>
      </c>
      <c r="L56" s="95" t="s">
        <v>277</v>
      </c>
      <c r="M56" s="81">
        <v>41270</v>
      </c>
      <c r="N56" s="709">
        <v>0</v>
      </c>
      <c r="O56" s="20"/>
      <c r="P56" s="95"/>
      <c r="Q56" s="81"/>
      <c r="R56" s="712">
        <v>1187322.48</v>
      </c>
      <c r="T56" s="200" t="s">
        <v>32</v>
      </c>
      <c r="U56" s="183">
        <v>195985</v>
      </c>
      <c r="V56" s="183">
        <v>165935</v>
      </c>
      <c r="W56" s="186">
        <v>-0.1533280608209812</v>
      </c>
      <c r="X56" s="188">
        <v>264710</v>
      </c>
      <c r="Y56" s="696">
        <v>265855</v>
      </c>
      <c r="Z56" s="694">
        <v>0.004325488270182464</v>
      </c>
      <c r="AA56" s="191">
        <v>460695</v>
      </c>
      <c r="AB56" s="194">
        <v>431790</v>
      </c>
      <c r="AC56" s="196">
        <v>-0.06274216129977533</v>
      </c>
      <c r="AE56" s="325" t="s">
        <v>144</v>
      </c>
      <c r="AF56" s="339">
        <v>1767</v>
      </c>
      <c r="AG56" s="328">
        <v>144050</v>
      </c>
      <c r="AH56" s="328">
        <v>6930</v>
      </c>
      <c r="AI56" s="328">
        <v>153990</v>
      </c>
      <c r="AJ56" s="328">
        <v>0</v>
      </c>
      <c r="AK56" s="328">
        <v>11520</v>
      </c>
      <c r="AL56" s="340">
        <v>1245</v>
      </c>
      <c r="AM56" s="334">
        <v>10250</v>
      </c>
      <c r="AN56" s="334">
        <v>3405</v>
      </c>
      <c r="AO56" s="334">
        <v>187380</v>
      </c>
      <c r="AP56" s="334">
        <v>0</v>
      </c>
      <c r="AQ56" s="334">
        <v>21060</v>
      </c>
      <c r="AR56" s="341">
        <v>202</v>
      </c>
      <c r="AS56" s="336">
        <v>5220</v>
      </c>
      <c r="AT56" s="336">
        <v>1080</v>
      </c>
      <c r="AU56" s="336">
        <v>18090</v>
      </c>
      <c r="AV56" s="336">
        <v>0</v>
      </c>
      <c r="AW56" s="336">
        <v>11880</v>
      </c>
      <c r="AX56" s="342">
        <v>3214</v>
      </c>
      <c r="AY56" s="343">
        <v>2063</v>
      </c>
      <c r="AZ56" s="344">
        <v>0.5579253514299564</v>
      </c>
      <c r="BA56" s="345">
        <v>2470</v>
      </c>
      <c r="BB56" s="346">
        <v>-0.16477732793522268</v>
      </c>
      <c r="BC56" s="347"/>
      <c r="BD56" s="348"/>
      <c r="BE56" s="631"/>
    </row>
    <row r="57" spans="1:56" ht="15">
      <c r="A57" s="297" t="s">
        <v>42</v>
      </c>
      <c r="B57" s="302">
        <v>4.931061165431478</v>
      </c>
      <c r="C57" s="298">
        <v>4.100087815045252</v>
      </c>
      <c r="D57" s="300">
        <v>1.2026720860311755</v>
      </c>
      <c r="G57" s="656" t="s">
        <v>271</v>
      </c>
      <c r="H57" s="85" t="s">
        <v>42</v>
      </c>
      <c r="I57" s="72">
        <v>1112553.7</v>
      </c>
      <c r="J57" s="20">
        <v>976717.6</v>
      </c>
      <c r="K57" s="23">
        <v>135836.09999999998</v>
      </c>
      <c r="L57" s="95" t="s">
        <v>275</v>
      </c>
      <c r="M57" s="81">
        <v>41299</v>
      </c>
      <c r="N57" s="709">
        <v>0</v>
      </c>
      <c r="O57" s="20"/>
      <c r="P57" s="95"/>
      <c r="Q57" s="81"/>
      <c r="R57" s="712">
        <v>976717.6</v>
      </c>
      <c r="T57" s="201" t="s">
        <v>33</v>
      </c>
      <c r="U57" s="184">
        <v>178740</v>
      </c>
      <c r="V57" s="184">
        <v>173155</v>
      </c>
      <c r="W57" s="187">
        <v>-0.031246503300883965</v>
      </c>
      <c r="X57" s="189">
        <v>248910</v>
      </c>
      <c r="Y57" s="697">
        <v>315350</v>
      </c>
      <c r="Z57" s="695">
        <v>0.2669237877144349</v>
      </c>
      <c r="AA57" s="192">
        <v>427650</v>
      </c>
      <c r="AB57" s="195">
        <v>488505</v>
      </c>
      <c r="AC57" s="197">
        <v>0.14230094703612767</v>
      </c>
      <c r="AE57" s="326" t="s">
        <v>33</v>
      </c>
      <c r="AF57" s="349">
        <v>1793</v>
      </c>
      <c r="AG57" s="328">
        <v>145510</v>
      </c>
      <c r="AH57" s="328">
        <v>7770</v>
      </c>
      <c r="AI57" s="328">
        <v>157770</v>
      </c>
      <c r="AJ57" s="328">
        <v>0</v>
      </c>
      <c r="AK57" s="328">
        <v>10800</v>
      </c>
      <c r="AL57" s="350">
        <v>1356</v>
      </c>
      <c r="AM57" s="334">
        <v>10500</v>
      </c>
      <c r="AN57" s="334">
        <v>3750</v>
      </c>
      <c r="AO57" s="334">
        <v>207090</v>
      </c>
      <c r="AP57" s="334">
        <v>0</v>
      </c>
      <c r="AQ57" s="334">
        <v>20520</v>
      </c>
      <c r="AR57" s="351">
        <v>209</v>
      </c>
      <c r="AS57" s="336">
        <v>5820</v>
      </c>
      <c r="AT57" s="336">
        <v>930</v>
      </c>
      <c r="AU57" s="336">
        <v>18630</v>
      </c>
      <c r="AV57" s="336">
        <v>0</v>
      </c>
      <c r="AW57" s="336">
        <v>12060</v>
      </c>
      <c r="AX57" s="352">
        <v>3358</v>
      </c>
      <c r="AY57" s="353">
        <v>3149</v>
      </c>
      <c r="AZ57" s="354">
        <v>0.06637027627818355</v>
      </c>
      <c r="BA57" s="355">
        <v>2711</v>
      </c>
      <c r="BB57" s="356">
        <v>0.16156399852452968</v>
      </c>
      <c r="BC57" s="357"/>
      <c r="BD57" s="358"/>
    </row>
    <row r="58" spans="1:56" ht="15">
      <c r="A58" s="297" t="s">
        <v>43</v>
      </c>
      <c r="B58" s="302">
        <v>0</v>
      </c>
      <c r="C58" s="298">
        <v>4.095809194170885</v>
      </c>
      <c r="D58" s="300">
        <v>0</v>
      </c>
      <c r="G58" s="657" t="s">
        <v>306</v>
      </c>
      <c r="H58" s="86" t="s">
        <v>43</v>
      </c>
      <c r="I58" s="29">
        <v>1064482.65</v>
      </c>
      <c r="J58" s="79">
        <v>872839.65</v>
      </c>
      <c r="K58" s="29">
        <v>191642.99999999988</v>
      </c>
      <c r="L58" s="658" t="s">
        <v>272</v>
      </c>
      <c r="M58" s="659">
        <v>41323</v>
      </c>
      <c r="N58" s="710">
        <v>0</v>
      </c>
      <c r="O58" s="79"/>
      <c r="P58" s="658"/>
      <c r="Q58" s="659"/>
      <c r="R58" s="713">
        <v>872839.65</v>
      </c>
      <c r="T58" s="201" t="s">
        <v>34</v>
      </c>
      <c r="U58" s="184">
        <v>184760</v>
      </c>
      <c r="V58" s="184">
        <v>189550</v>
      </c>
      <c r="W58" s="187">
        <v>0.025925525005412425</v>
      </c>
      <c r="X58" s="189">
        <v>285770</v>
      </c>
      <c r="Y58" s="697">
        <v>372605</v>
      </c>
      <c r="Z58" s="695">
        <v>0.30386324666689996</v>
      </c>
      <c r="AA58" s="192">
        <v>470530</v>
      </c>
      <c r="AB58" s="195">
        <v>562155</v>
      </c>
      <c r="AC58" s="197">
        <v>0.1947272224937836</v>
      </c>
      <c r="AE58" s="326" t="s">
        <v>34</v>
      </c>
      <c r="AF58" s="349">
        <v>1851</v>
      </c>
      <c r="AG58" s="328">
        <v>144720</v>
      </c>
      <c r="AH58" s="328">
        <v>7740</v>
      </c>
      <c r="AI58" s="328">
        <v>165285</v>
      </c>
      <c r="AJ58" s="328">
        <v>0</v>
      </c>
      <c r="AK58" s="328">
        <v>14220</v>
      </c>
      <c r="AL58" s="350">
        <v>1443</v>
      </c>
      <c r="AM58" s="334">
        <v>11300</v>
      </c>
      <c r="AN58" s="334">
        <v>4080</v>
      </c>
      <c r="AO58" s="334">
        <v>220815</v>
      </c>
      <c r="AP58" s="334">
        <v>0</v>
      </c>
      <c r="AQ58" s="334">
        <v>20700</v>
      </c>
      <c r="AR58" s="351">
        <v>222</v>
      </c>
      <c r="AS58" s="336">
        <v>5670</v>
      </c>
      <c r="AT58" s="336">
        <v>1080</v>
      </c>
      <c r="AU58" s="336">
        <v>20070</v>
      </c>
      <c r="AV58" s="336">
        <v>0</v>
      </c>
      <c r="AW58" s="336">
        <v>12960</v>
      </c>
      <c r="AX58" s="352">
        <v>3516</v>
      </c>
      <c r="AY58" s="353">
        <v>2668</v>
      </c>
      <c r="AZ58" s="354">
        <v>0.31784107946026985</v>
      </c>
      <c r="BA58" s="355">
        <v>2101</v>
      </c>
      <c r="BB58" s="356">
        <v>0.2698714897667777</v>
      </c>
      <c r="BC58" s="357"/>
      <c r="BD58" s="358"/>
    </row>
    <row r="59" spans="1:56" ht="15">
      <c r="A59" s="51"/>
      <c r="B59" s="51"/>
      <c r="C59" s="51" t="s">
        <v>188</v>
      </c>
      <c r="D59" s="51"/>
      <c r="E59" s="51"/>
      <c r="F59" s="51"/>
      <c r="G59" s="51"/>
      <c r="H59" s="75"/>
      <c r="I59" s="39">
        <v>14302535.58</v>
      </c>
      <c r="J59" s="701">
        <v>13003803.172865372</v>
      </c>
      <c r="K59" s="39"/>
      <c r="L59" s="51"/>
      <c r="M59" s="51"/>
      <c r="N59" s="700">
        <v>1273088.0199999996</v>
      </c>
      <c r="O59" s="700">
        <v>589613.45</v>
      </c>
      <c r="R59" s="700">
        <v>13593416.622865373</v>
      </c>
      <c r="T59" s="201" t="s">
        <v>35</v>
      </c>
      <c r="U59" s="184">
        <v>202690</v>
      </c>
      <c r="V59" s="184">
        <v>201785</v>
      </c>
      <c r="W59" s="187">
        <v>-0.004464946469978785</v>
      </c>
      <c r="X59" s="189">
        <v>338285</v>
      </c>
      <c r="Y59" s="697">
        <v>393375</v>
      </c>
      <c r="Z59" s="695">
        <v>0.16285085061412713</v>
      </c>
      <c r="AA59" s="192">
        <v>540975</v>
      </c>
      <c r="AB59" s="195">
        <v>595160</v>
      </c>
      <c r="AC59" s="197">
        <v>0.1001617449974583</v>
      </c>
      <c r="AE59" s="326" t="s">
        <v>35</v>
      </c>
      <c r="AF59" s="349">
        <v>1942</v>
      </c>
      <c r="AG59" s="328">
        <v>155230</v>
      </c>
      <c r="AH59" s="328">
        <v>8175</v>
      </c>
      <c r="AI59" s="328">
        <v>172935</v>
      </c>
      <c r="AJ59" s="328">
        <v>0</v>
      </c>
      <c r="AK59" s="328">
        <v>14940</v>
      </c>
      <c r="AL59" s="350">
        <v>1479</v>
      </c>
      <c r="AM59" s="334">
        <v>11390</v>
      </c>
      <c r="AN59" s="334">
        <v>4140</v>
      </c>
      <c r="AO59" s="334">
        <v>225585</v>
      </c>
      <c r="AP59" s="334">
        <v>0</v>
      </c>
      <c r="AQ59" s="334">
        <v>22140</v>
      </c>
      <c r="AR59" s="351">
        <v>216</v>
      </c>
      <c r="AS59" s="336">
        <v>6010</v>
      </c>
      <c r="AT59" s="336">
        <v>1110</v>
      </c>
      <c r="AU59" s="336">
        <v>20070</v>
      </c>
      <c r="AV59" s="336">
        <v>0</v>
      </c>
      <c r="AW59" s="336">
        <v>11520</v>
      </c>
      <c r="AX59" s="352">
        <v>3637</v>
      </c>
      <c r="AY59" s="353">
        <v>3749</v>
      </c>
      <c r="AZ59" s="354">
        <v>-0.029874633235529476</v>
      </c>
      <c r="BA59" s="355">
        <v>2729</v>
      </c>
      <c r="BB59" s="356">
        <v>0.37376328325393915</v>
      </c>
      <c r="BC59" s="357">
        <v>1800</v>
      </c>
      <c r="BD59" s="359">
        <v>0.5161111111111111</v>
      </c>
    </row>
    <row r="60" spans="7:56" ht="15">
      <c r="G60" s="51"/>
      <c r="H60" s="75"/>
      <c r="I60" s="39"/>
      <c r="J60" s="39"/>
      <c r="K60" s="39"/>
      <c r="L60" s="51"/>
      <c r="M60" s="51"/>
      <c r="N60" s="94">
        <v>15575623.6</v>
      </c>
      <c r="O60" s="94">
        <v>13593416.622865371</v>
      </c>
      <c r="P60" s="94">
        <v>1982206.9771346282</v>
      </c>
      <c r="T60" s="201" t="s">
        <v>36</v>
      </c>
      <c r="U60" s="184">
        <v>313200</v>
      </c>
      <c r="V60" s="184">
        <v>404190</v>
      </c>
      <c r="W60" s="187">
        <v>0.29051724137931034</v>
      </c>
      <c r="X60" s="189">
        <v>523900</v>
      </c>
      <c r="Y60" s="697">
        <v>686925</v>
      </c>
      <c r="Z60" s="695">
        <v>0.31117579690780683</v>
      </c>
      <c r="AA60" s="192">
        <v>837100</v>
      </c>
      <c r="AB60" s="195">
        <v>1091115</v>
      </c>
      <c r="AC60" s="197">
        <v>0.3034464221717835</v>
      </c>
      <c r="AE60" s="326" t="s">
        <v>36</v>
      </c>
      <c r="AF60" s="349">
        <v>1997</v>
      </c>
      <c r="AG60" s="328">
        <v>315120</v>
      </c>
      <c r="AH60" s="328">
        <v>17295</v>
      </c>
      <c r="AI60" s="328">
        <v>352575</v>
      </c>
      <c r="AJ60" s="328">
        <v>0</v>
      </c>
      <c r="AK60" s="328">
        <v>29700</v>
      </c>
      <c r="AL60" s="350">
        <v>1571</v>
      </c>
      <c r="AM60" s="334">
        <v>17100</v>
      </c>
      <c r="AN60" s="334">
        <v>6990</v>
      </c>
      <c r="AO60" s="334">
        <v>406170</v>
      </c>
      <c r="AP60" s="334">
        <v>0</v>
      </c>
      <c r="AQ60" s="334">
        <v>44100</v>
      </c>
      <c r="AR60" s="351">
        <v>229</v>
      </c>
      <c r="AS60" s="336">
        <v>13080</v>
      </c>
      <c r="AT60" s="336">
        <v>41805</v>
      </c>
      <c r="AU60" s="336">
        <v>25200</v>
      </c>
      <c r="AV60" s="336">
        <v>0</v>
      </c>
      <c r="AW60" s="336">
        <v>2220</v>
      </c>
      <c r="AX60" s="352">
        <v>3797</v>
      </c>
      <c r="AY60" s="353">
        <v>3403</v>
      </c>
      <c r="AZ60" s="354">
        <v>0.11578019394651778</v>
      </c>
      <c r="BA60" s="355">
        <v>2941</v>
      </c>
      <c r="BB60" s="356">
        <v>0.15708942536552192</v>
      </c>
      <c r="BC60" s="357">
        <v>1785</v>
      </c>
      <c r="BD60" s="359">
        <v>0.6476190476190476</v>
      </c>
    </row>
    <row r="61" spans="7:56" ht="15">
      <c r="G61" s="923" t="s">
        <v>136</v>
      </c>
      <c r="H61" s="924"/>
      <c r="I61" s="924"/>
      <c r="J61" s="924"/>
      <c r="K61" s="924"/>
      <c r="L61" s="924"/>
      <c r="M61" s="925"/>
      <c r="O61" s="94"/>
      <c r="T61" s="201" t="s">
        <v>37</v>
      </c>
      <c r="U61" s="184">
        <v>341160</v>
      </c>
      <c r="V61" s="184">
        <v>430845</v>
      </c>
      <c r="W61" s="187">
        <v>0.2628825184664087</v>
      </c>
      <c r="X61" s="189">
        <v>545840</v>
      </c>
      <c r="Y61" s="697">
        <v>667470</v>
      </c>
      <c r="Z61" s="695">
        <v>0.22283086618789388</v>
      </c>
      <c r="AA61" s="192">
        <v>887000</v>
      </c>
      <c r="AB61" s="195">
        <v>1098315</v>
      </c>
      <c r="AC61" s="197">
        <v>0.2382356257046223</v>
      </c>
      <c r="AE61" s="326" t="s">
        <v>37</v>
      </c>
      <c r="AF61" s="349">
        <v>2048</v>
      </c>
      <c r="AG61" s="328">
        <v>320065</v>
      </c>
      <c r="AH61" s="328">
        <v>17895</v>
      </c>
      <c r="AI61" s="328">
        <v>363465</v>
      </c>
      <c r="AJ61" s="328">
        <v>0</v>
      </c>
      <c r="AK61" s="328">
        <v>32940</v>
      </c>
      <c r="AL61" s="350">
        <v>1631</v>
      </c>
      <c r="AM61" s="334">
        <v>23470</v>
      </c>
      <c r="AN61" s="334">
        <v>10440</v>
      </c>
      <c r="AO61" s="334">
        <v>580410</v>
      </c>
      <c r="AP61" s="334">
        <v>90</v>
      </c>
      <c r="AQ61" s="334">
        <v>47700</v>
      </c>
      <c r="AR61" s="351">
        <v>225</v>
      </c>
      <c r="AS61" s="336">
        <v>12540</v>
      </c>
      <c r="AT61" s="336">
        <v>1860</v>
      </c>
      <c r="AU61" s="336">
        <v>41625</v>
      </c>
      <c r="AV61" s="336">
        <v>0</v>
      </c>
      <c r="AW61" s="336">
        <v>24840</v>
      </c>
      <c r="AX61" s="352">
        <v>3904</v>
      </c>
      <c r="AY61" s="353">
        <v>3127</v>
      </c>
      <c r="AZ61" s="354">
        <v>0.2484809721778062</v>
      </c>
      <c r="BA61" s="355">
        <v>3047</v>
      </c>
      <c r="BB61" s="356">
        <v>0.02625533311453889</v>
      </c>
      <c r="BC61" s="357">
        <v>1744</v>
      </c>
      <c r="BD61" s="359">
        <v>0.7471330275229358</v>
      </c>
    </row>
    <row r="62" spans="7:56" ht="15">
      <c r="G62" s="894" t="s">
        <v>296</v>
      </c>
      <c r="H62" s="895"/>
      <c r="I62" s="895"/>
      <c r="J62" s="895"/>
      <c r="K62" s="895"/>
      <c r="L62" s="895"/>
      <c r="M62" s="896"/>
      <c r="N62" s="920" t="s">
        <v>297</v>
      </c>
      <c r="O62" s="921"/>
      <c r="P62" s="921"/>
      <c r="Q62" s="922"/>
      <c r="T62" s="201" t="s">
        <v>38</v>
      </c>
      <c r="U62" s="184">
        <v>324030</v>
      </c>
      <c r="V62" s="184">
        <v>454905</v>
      </c>
      <c r="W62" s="187">
        <v>0.40389778724192205</v>
      </c>
      <c r="X62" s="189">
        <v>553735</v>
      </c>
      <c r="Y62" s="697">
        <v>644300</v>
      </c>
      <c r="Z62" s="695">
        <v>0.16355296305994746</v>
      </c>
      <c r="AA62" s="192">
        <v>877765</v>
      </c>
      <c r="AB62" s="195">
        <v>1099205</v>
      </c>
      <c r="AC62" s="197">
        <v>0.2522770901095396</v>
      </c>
      <c r="AE62" s="326" t="s">
        <v>38</v>
      </c>
      <c r="AF62" s="349">
        <v>2026</v>
      </c>
      <c r="AG62" s="328">
        <v>314870</v>
      </c>
      <c r="AH62" s="328">
        <v>16560</v>
      </c>
      <c r="AI62" s="328">
        <v>362430</v>
      </c>
      <c r="AJ62" s="328">
        <v>0</v>
      </c>
      <c r="AK62" s="328">
        <v>33300</v>
      </c>
      <c r="AL62" s="350">
        <v>1648</v>
      </c>
      <c r="AM62" s="334">
        <v>23430</v>
      </c>
      <c r="AN62" s="334">
        <v>9990</v>
      </c>
      <c r="AO62" s="334">
        <v>556830</v>
      </c>
      <c r="AP62" s="334">
        <v>420</v>
      </c>
      <c r="AQ62" s="334">
        <v>67500</v>
      </c>
      <c r="AR62" s="351">
        <v>224</v>
      </c>
      <c r="AS62" s="336">
        <v>12020</v>
      </c>
      <c r="AT62" s="336">
        <v>1905</v>
      </c>
      <c r="AU62" s="336">
        <v>41175</v>
      </c>
      <c r="AV62" s="336">
        <v>0</v>
      </c>
      <c r="AW62" s="336">
        <v>25200</v>
      </c>
      <c r="AX62" s="352">
        <v>3898</v>
      </c>
      <c r="AY62" s="353">
        <v>3480</v>
      </c>
      <c r="AZ62" s="354">
        <v>0.12011494252873563</v>
      </c>
      <c r="BA62" s="355">
        <v>3103</v>
      </c>
      <c r="BB62" s="356">
        <v>0.12149532710280374</v>
      </c>
      <c r="BC62" s="357">
        <v>2797</v>
      </c>
      <c r="BD62" s="359">
        <v>0.10940293171254915</v>
      </c>
    </row>
    <row r="63" spans="1:56" ht="15">
      <c r="A63" s="1"/>
      <c r="B63" s="58"/>
      <c r="C63" s="58"/>
      <c r="D63" s="58"/>
      <c r="E63" s="128"/>
      <c r="F63" s="128"/>
      <c r="G63" s="54" t="s">
        <v>81</v>
      </c>
      <c r="H63" s="13" t="s">
        <v>48</v>
      </c>
      <c r="I63" s="13" t="s">
        <v>49</v>
      </c>
      <c r="J63" s="13" t="s">
        <v>50</v>
      </c>
      <c r="K63" s="54" t="s">
        <v>51</v>
      </c>
      <c r="L63" s="13" t="s">
        <v>52</v>
      </c>
      <c r="M63" s="9" t="s">
        <v>53</v>
      </c>
      <c r="N63" s="50" t="s">
        <v>295</v>
      </c>
      <c r="O63" s="50" t="s">
        <v>50</v>
      </c>
      <c r="P63" s="50" t="s">
        <v>52</v>
      </c>
      <c r="Q63" s="54" t="s">
        <v>53</v>
      </c>
      <c r="R63" s="13" t="s">
        <v>294</v>
      </c>
      <c r="T63" s="201" t="s">
        <v>39</v>
      </c>
      <c r="U63" s="184">
        <v>353205</v>
      </c>
      <c r="V63" s="184">
        <v>444595</v>
      </c>
      <c r="W63" s="187">
        <v>0.25874492150450873</v>
      </c>
      <c r="X63" s="189">
        <v>560955</v>
      </c>
      <c r="Y63" s="697">
        <v>621505</v>
      </c>
      <c r="Z63" s="695">
        <v>0.10794092217735826</v>
      </c>
      <c r="AA63" s="192">
        <v>914160</v>
      </c>
      <c r="AB63" s="195">
        <v>1066100</v>
      </c>
      <c r="AC63" s="197">
        <v>0.16620722849391792</v>
      </c>
      <c r="AE63" s="326" t="s">
        <v>39</v>
      </c>
      <c r="AF63" s="349">
        <v>1962</v>
      </c>
      <c r="AG63" s="328">
        <v>303310</v>
      </c>
      <c r="AH63" s="328">
        <v>15064</v>
      </c>
      <c r="AI63" s="328">
        <v>352395</v>
      </c>
      <c r="AJ63" s="328">
        <v>0</v>
      </c>
      <c r="AK63" s="328">
        <v>32940</v>
      </c>
      <c r="AL63" s="350">
        <v>1657</v>
      </c>
      <c r="AM63" s="334">
        <v>19710</v>
      </c>
      <c r="AN63" s="334">
        <v>9450</v>
      </c>
      <c r="AO63" s="334">
        <v>445410</v>
      </c>
      <c r="AP63" s="334">
        <v>1620</v>
      </c>
      <c r="AQ63" s="334">
        <v>54720</v>
      </c>
      <c r="AR63" s="351">
        <v>241</v>
      </c>
      <c r="AS63" s="336">
        <v>12050</v>
      </c>
      <c r="AT63" s="336">
        <v>1810</v>
      </c>
      <c r="AU63" s="336">
        <v>48285</v>
      </c>
      <c r="AV63" s="336">
        <v>0</v>
      </c>
      <c r="AW63" s="336">
        <v>24480</v>
      </c>
      <c r="AX63" s="352">
        <v>3860</v>
      </c>
      <c r="AY63" s="353">
        <v>3542</v>
      </c>
      <c r="AZ63" s="354">
        <v>0.08977978543195934</v>
      </c>
      <c r="BA63" s="355">
        <v>3138</v>
      </c>
      <c r="BB63" s="356">
        <v>0.12874442319949012</v>
      </c>
      <c r="BC63" s="357">
        <v>3005</v>
      </c>
      <c r="BD63" s="359">
        <v>0.04425956738768719</v>
      </c>
    </row>
    <row r="64" spans="1:56" ht="15">
      <c r="A64" s="94"/>
      <c r="B64" s="94"/>
      <c r="C64" s="94"/>
      <c r="D64" s="94"/>
      <c r="E64" s="94"/>
      <c r="F64" s="94"/>
      <c r="G64" s="76" t="s">
        <v>76</v>
      </c>
      <c r="H64" s="84" t="s">
        <v>32</v>
      </c>
      <c r="I64" s="702">
        <v>391153.095</v>
      </c>
      <c r="J64" s="68">
        <v>391153.095</v>
      </c>
      <c r="K64" s="705">
        <v>0</v>
      </c>
      <c r="L64" s="664" t="s">
        <v>64</v>
      </c>
      <c r="M64" s="660" t="s">
        <v>55</v>
      </c>
      <c r="N64" s="68">
        <v>58258.054999999964</v>
      </c>
      <c r="O64" s="68">
        <v>58313.79</v>
      </c>
      <c r="P64" s="77" t="s">
        <v>292</v>
      </c>
      <c r="Q64" s="69" t="s">
        <v>293</v>
      </c>
      <c r="R64" s="699">
        <v>449466.88499999995</v>
      </c>
      <c r="T64" s="201" t="s">
        <v>40</v>
      </c>
      <c r="U64" s="184">
        <v>339420</v>
      </c>
      <c r="V64" s="184">
        <v>437090</v>
      </c>
      <c r="W64" s="187">
        <v>0.2877555830534441</v>
      </c>
      <c r="X64" s="189">
        <v>540990</v>
      </c>
      <c r="Y64" s="697">
        <v>548950</v>
      </c>
      <c r="Z64" s="695">
        <v>0.014713765503983438</v>
      </c>
      <c r="AA64" s="192">
        <v>880410</v>
      </c>
      <c r="AB64" s="195">
        <v>986040</v>
      </c>
      <c r="AC64" s="197">
        <v>0.11997819197873717</v>
      </c>
      <c r="AE64" s="326" t="s">
        <v>40</v>
      </c>
      <c r="AF64" s="349">
        <v>2067</v>
      </c>
      <c r="AG64" s="328">
        <v>315330</v>
      </c>
      <c r="AH64" s="328">
        <v>12094</v>
      </c>
      <c r="AI64" s="328">
        <v>367785</v>
      </c>
      <c r="AJ64" s="328">
        <v>0</v>
      </c>
      <c r="AK64" s="328">
        <v>33120</v>
      </c>
      <c r="AL64" s="350">
        <v>1968</v>
      </c>
      <c r="AM64" s="334">
        <v>21240</v>
      </c>
      <c r="AN64" s="334">
        <v>10770</v>
      </c>
      <c r="AO64" s="334">
        <v>481365</v>
      </c>
      <c r="AP64" s="334">
        <v>2340</v>
      </c>
      <c r="AQ64" s="334">
        <v>76860</v>
      </c>
      <c r="AR64" s="351">
        <v>240</v>
      </c>
      <c r="AS64" s="336">
        <v>11970</v>
      </c>
      <c r="AT64" s="336">
        <v>1020</v>
      </c>
      <c r="AU64" s="336">
        <v>48555</v>
      </c>
      <c r="AV64" s="336">
        <v>0</v>
      </c>
      <c r="AW64" s="336">
        <v>24840</v>
      </c>
      <c r="AX64" s="352">
        <v>4275</v>
      </c>
      <c r="AY64" s="353">
        <v>3566</v>
      </c>
      <c r="AZ64" s="354">
        <v>0.19882220975883344</v>
      </c>
      <c r="BA64" s="355">
        <v>3174</v>
      </c>
      <c r="BB64" s="356">
        <v>0.12350346565847511</v>
      </c>
      <c r="BC64" s="357">
        <v>3012</v>
      </c>
      <c r="BD64" s="359">
        <v>0.053784860557768925</v>
      </c>
    </row>
    <row r="65" spans="1:56" ht="15">
      <c r="A65" s="94"/>
      <c r="B65" s="94"/>
      <c r="C65" s="94"/>
      <c r="D65" s="94"/>
      <c r="E65" s="94"/>
      <c r="F65" s="94"/>
      <c r="G65" s="78" t="s">
        <v>77</v>
      </c>
      <c r="H65" s="82" t="s">
        <v>33</v>
      </c>
      <c r="I65" s="703">
        <v>409137.435</v>
      </c>
      <c r="J65" s="20">
        <v>409137.425</v>
      </c>
      <c r="K65" s="704">
        <v>0.010000000009313226</v>
      </c>
      <c r="L65" s="665" t="s">
        <v>65</v>
      </c>
      <c r="M65" s="26" t="s">
        <v>57</v>
      </c>
      <c r="N65" s="20">
        <v>60358.314999999995</v>
      </c>
      <c r="O65" s="20">
        <v>60418.03</v>
      </c>
      <c r="P65" s="74" t="s">
        <v>292</v>
      </c>
      <c r="Q65" s="14" t="s">
        <v>293</v>
      </c>
      <c r="R65" s="699">
        <v>469555.45499999996</v>
      </c>
      <c r="T65" s="201" t="s">
        <v>41</v>
      </c>
      <c r="U65" s="184">
        <v>186080</v>
      </c>
      <c r="V65" s="184">
        <v>216820</v>
      </c>
      <c r="W65" s="187">
        <v>0.16519776440240758</v>
      </c>
      <c r="X65" s="189">
        <v>372695</v>
      </c>
      <c r="Y65" s="697">
        <v>407130</v>
      </c>
      <c r="Z65" s="695">
        <v>0.0923945853848321</v>
      </c>
      <c r="AA65" s="192">
        <v>558775</v>
      </c>
      <c r="AB65" s="195">
        <v>623950</v>
      </c>
      <c r="AC65" s="197">
        <v>0.11663907655138472</v>
      </c>
      <c r="AE65" s="326" t="s">
        <v>41</v>
      </c>
      <c r="AF65" s="349">
        <v>1975</v>
      </c>
      <c r="AG65" s="328">
        <v>155660</v>
      </c>
      <c r="AH65" s="328">
        <v>6195</v>
      </c>
      <c r="AI65" s="328">
        <v>176040</v>
      </c>
      <c r="AJ65" s="328">
        <v>0</v>
      </c>
      <c r="AK65" s="328">
        <v>17100</v>
      </c>
      <c r="AL65" s="350">
        <v>1712</v>
      </c>
      <c r="AM65" s="334">
        <v>19860</v>
      </c>
      <c r="AN65" s="334">
        <v>8175</v>
      </c>
      <c r="AO65" s="334">
        <v>381735</v>
      </c>
      <c r="AP65" s="334">
        <v>2640</v>
      </c>
      <c r="AQ65" s="334">
        <v>48600</v>
      </c>
      <c r="AR65" s="351">
        <v>245</v>
      </c>
      <c r="AS65" s="336">
        <v>6460</v>
      </c>
      <c r="AT65" s="336">
        <v>510</v>
      </c>
      <c r="AU65" s="336">
        <v>23985</v>
      </c>
      <c r="AV65" s="336">
        <v>0</v>
      </c>
      <c r="AW65" s="336">
        <v>13140</v>
      </c>
      <c r="AX65" s="352">
        <v>3932</v>
      </c>
      <c r="AY65" s="353">
        <v>3581</v>
      </c>
      <c r="AZ65" s="354">
        <v>0.0980173135995532</v>
      </c>
      <c r="BA65" s="355">
        <v>3237</v>
      </c>
      <c r="BB65" s="356">
        <v>0.10627123880135929</v>
      </c>
      <c r="BC65" s="357">
        <v>3105</v>
      </c>
      <c r="BD65" s="359">
        <v>0.04251207729468599</v>
      </c>
    </row>
    <row r="66" spans="1:56" ht="15">
      <c r="A66" s="94"/>
      <c r="B66" s="94"/>
      <c r="C66" s="94"/>
      <c r="D66" s="94"/>
      <c r="E66" s="94"/>
      <c r="F66" s="94"/>
      <c r="G66" s="78" t="s">
        <v>72</v>
      </c>
      <c r="H66" s="82" t="s">
        <v>58</v>
      </c>
      <c r="I66" s="703">
        <v>445843.53</v>
      </c>
      <c r="J66" s="20">
        <v>445831.91</v>
      </c>
      <c r="K66" s="704">
        <v>11.620000000053551</v>
      </c>
      <c r="L66" s="665" t="s">
        <v>66</v>
      </c>
      <c r="M66" s="661">
        <v>41067</v>
      </c>
      <c r="N66" s="20">
        <v>66781.27000000003</v>
      </c>
      <c r="O66" s="20">
        <v>66843.97</v>
      </c>
      <c r="P66" s="74" t="s">
        <v>292</v>
      </c>
      <c r="Q66" s="14" t="s">
        <v>293</v>
      </c>
      <c r="R66" s="699">
        <v>512675.88</v>
      </c>
      <c r="T66" s="201" t="s">
        <v>42</v>
      </c>
      <c r="U66" s="184">
        <v>184785</v>
      </c>
      <c r="V66" s="184">
        <v>208545</v>
      </c>
      <c r="W66" s="187">
        <v>0.1285818654111535</v>
      </c>
      <c r="X66" s="189">
        <v>356230</v>
      </c>
      <c r="Y66" s="697">
        <v>409750</v>
      </c>
      <c r="Z66" s="695">
        <v>0.15024001347444066</v>
      </c>
      <c r="AA66" s="192">
        <v>541015</v>
      </c>
      <c r="AB66" s="195">
        <v>618295</v>
      </c>
      <c r="AC66" s="197">
        <v>0.1428426198903912</v>
      </c>
      <c r="AE66" s="326" t="s">
        <v>42</v>
      </c>
      <c r="AF66" s="349">
        <v>1603</v>
      </c>
      <c r="AG66" s="328">
        <v>140570</v>
      </c>
      <c r="AH66" s="328">
        <v>4680</v>
      </c>
      <c r="AI66" s="328">
        <v>135540</v>
      </c>
      <c r="AJ66" s="328">
        <v>0</v>
      </c>
      <c r="AK66" s="328">
        <v>7740</v>
      </c>
      <c r="AL66" s="350">
        <v>1723</v>
      </c>
      <c r="AM66" s="334">
        <v>12680</v>
      </c>
      <c r="AN66" s="334">
        <v>5835</v>
      </c>
      <c r="AO66" s="334">
        <v>246150</v>
      </c>
      <c r="AP66" s="334">
        <v>1890</v>
      </c>
      <c r="AQ66" s="334">
        <v>40680</v>
      </c>
      <c r="AR66" s="351">
        <v>290</v>
      </c>
      <c r="AS66" s="336">
        <v>7900</v>
      </c>
      <c r="AT66" s="336">
        <v>510</v>
      </c>
      <c r="AU66" s="336">
        <v>29385</v>
      </c>
      <c r="AV66" s="336">
        <v>0</v>
      </c>
      <c r="AW66" s="336">
        <v>14400</v>
      </c>
      <c r="AX66" s="352">
        <v>3616</v>
      </c>
      <c r="AY66" s="353">
        <v>3637</v>
      </c>
      <c r="AZ66" s="354">
        <v>-0.00577398955182843</v>
      </c>
      <c r="BA66" s="355">
        <v>3255</v>
      </c>
      <c r="BB66" s="356">
        <v>0.117357910906298</v>
      </c>
      <c r="BC66" s="357">
        <v>3147</v>
      </c>
      <c r="BD66" s="359">
        <v>0.034318398474737846</v>
      </c>
    </row>
    <row r="67" spans="1:63" ht="15">
      <c r="A67" s="94"/>
      <c r="B67" s="94"/>
      <c r="C67" s="94"/>
      <c r="D67" s="94"/>
      <c r="E67" s="94"/>
      <c r="F67" s="94"/>
      <c r="G67" s="78" t="s">
        <v>73</v>
      </c>
      <c r="H67" s="82" t="s">
        <v>60</v>
      </c>
      <c r="I67" s="703">
        <v>475594.42500000005</v>
      </c>
      <c r="J67" s="20">
        <v>475581.74500000005</v>
      </c>
      <c r="K67" s="704">
        <v>12.679999999993015</v>
      </c>
      <c r="L67" s="665" t="s">
        <v>67</v>
      </c>
      <c r="M67" s="661">
        <v>41067</v>
      </c>
      <c r="N67" s="20">
        <v>71159.22499999998</v>
      </c>
      <c r="O67" s="20">
        <v>71226.06</v>
      </c>
      <c r="P67" s="74" t="s">
        <v>292</v>
      </c>
      <c r="Q67" s="14" t="s">
        <v>293</v>
      </c>
      <c r="R67" s="699">
        <v>546807.805</v>
      </c>
      <c r="T67" s="201" t="s">
        <v>43</v>
      </c>
      <c r="U67" s="185">
        <v>170725</v>
      </c>
      <c r="V67" s="184">
        <v>196100</v>
      </c>
      <c r="W67" s="187">
        <v>0.1486308390686777</v>
      </c>
      <c r="X67" s="190">
        <v>307750</v>
      </c>
      <c r="Y67" s="697">
        <v>392175</v>
      </c>
      <c r="Z67" s="695">
        <v>0.2743298131600325</v>
      </c>
      <c r="AA67" s="193">
        <v>478475</v>
      </c>
      <c r="AB67" s="195">
        <v>588275</v>
      </c>
      <c r="AC67" s="197">
        <v>0.22947907414180468</v>
      </c>
      <c r="AE67" s="327" t="s">
        <v>43</v>
      </c>
      <c r="AF67" s="360">
        <v>2020</v>
      </c>
      <c r="AG67" s="328">
        <v>156340</v>
      </c>
      <c r="AH67" s="328">
        <v>6240</v>
      </c>
      <c r="AI67" s="328">
        <v>181575</v>
      </c>
      <c r="AJ67" s="360">
        <v>0</v>
      </c>
      <c r="AK67" s="328">
        <v>18900</v>
      </c>
      <c r="AL67" s="361">
        <v>1721</v>
      </c>
      <c r="AM67" s="334">
        <v>13070</v>
      </c>
      <c r="AN67" s="334">
        <v>6120</v>
      </c>
      <c r="AO67" s="334">
        <v>245340</v>
      </c>
      <c r="AP67" s="334">
        <v>2130</v>
      </c>
      <c r="AQ67" s="334">
        <v>40320</v>
      </c>
      <c r="AR67" s="362">
        <v>234</v>
      </c>
      <c r="AS67" s="336">
        <v>6370</v>
      </c>
      <c r="AT67" s="336">
        <v>510</v>
      </c>
      <c r="AU67" s="336">
        <v>23175</v>
      </c>
      <c r="AV67" s="336">
        <v>0</v>
      </c>
      <c r="AW67" s="336">
        <v>12060</v>
      </c>
      <c r="AX67" s="363">
        <v>3975</v>
      </c>
      <c r="AY67" s="364">
        <v>3574</v>
      </c>
      <c r="AZ67" s="354">
        <v>0.11219921656407386</v>
      </c>
      <c r="BA67" s="365">
        <v>3221</v>
      </c>
      <c r="BB67" s="366">
        <v>0.10959329400807202</v>
      </c>
      <c r="BC67" s="367">
        <v>3988</v>
      </c>
      <c r="BD67" s="368">
        <v>-0.1923269809428285</v>
      </c>
      <c r="BG67" s="293"/>
      <c r="BI67" s="94"/>
      <c r="BJ67" s="94"/>
      <c r="BK67" s="94"/>
    </row>
    <row r="68" spans="1:57" ht="15">
      <c r="A68" s="94"/>
      <c r="B68" s="94"/>
      <c r="C68" s="94"/>
      <c r="D68" s="94"/>
      <c r="E68" s="94"/>
      <c r="F68" s="94"/>
      <c r="G68" s="78" t="s">
        <v>74</v>
      </c>
      <c r="H68" s="82" t="s">
        <v>36</v>
      </c>
      <c r="I68" s="703">
        <v>949573.71</v>
      </c>
      <c r="J68" s="20">
        <v>709691.2906828617</v>
      </c>
      <c r="K68" s="704">
        <v>239882.41931713826</v>
      </c>
      <c r="L68" s="665" t="s">
        <v>68</v>
      </c>
      <c r="M68" s="661">
        <v>41134</v>
      </c>
      <c r="N68" s="20">
        <v>144792.99</v>
      </c>
      <c r="O68" s="20">
        <v>83439.29</v>
      </c>
      <c r="P68" s="74" t="s">
        <v>292</v>
      </c>
      <c r="Q68" s="14" t="s">
        <v>293</v>
      </c>
      <c r="R68" s="699">
        <v>793130.5806828617</v>
      </c>
      <c r="T68" s="199" t="s">
        <v>132</v>
      </c>
      <c r="U68" s="441">
        <v>2976791</v>
      </c>
      <c r="V68" s="441">
        <v>3525527</v>
      </c>
      <c r="W68" s="202">
        <v>0.1485912112451168</v>
      </c>
      <c r="X68" s="441">
        <v>4901781</v>
      </c>
      <c r="Y68" s="441">
        <v>5727402</v>
      </c>
      <c r="Z68" s="202">
        <v>0.17292850826016162</v>
      </c>
      <c r="AA68" s="441">
        <v>7876561</v>
      </c>
      <c r="AB68" s="441">
        <v>9250917</v>
      </c>
      <c r="AC68" s="202">
        <v>0.1619627568558146</v>
      </c>
      <c r="AF68" s="369">
        <v>1942.8</v>
      </c>
      <c r="AG68" s="333">
        <v>2610775</v>
      </c>
      <c r="AH68" s="338">
        <v>126638</v>
      </c>
      <c r="AI68" s="338">
        <v>2941785</v>
      </c>
      <c r="AJ68" s="338">
        <v>0</v>
      </c>
      <c r="AK68" s="338">
        <v>257220</v>
      </c>
      <c r="AL68" s="370">
        <v>1571</v>
      </c>
      <c r="AM68" s="335">
        <v>194000</v>
      </c>
      <c r="AN68" s="335">
        <v>83145</v>
      </c>
      <c r="AO68" s="335">
        <v>4184280</v>
      </c>
      <c r="AP68" s="335">
        <v>11130</v>
      </c>
      <c r="AQ68" s="335">
        <v>504900</v>
      </c>
      <c r="AR68" s="371">
        <v>225.3</v>
      </c>
      <c r="AS68" s="337">
        <v>105110</v>
      </c>
      <c r="AT68" s="337">
        <v>54130</v>
      </c>
      <c r="AU68" s="337">
        <v>358245</v>
      </c>
      <c r="AV68" s="337">
        <v>0</v>
      </c>
      <c r="AW68" s="337">
        <v>189600</v>
      </c>
      <c r="AX68" s="332">
        <v>3748.5</v>
      </c>
      <c r="AY68" s="372">
        <v>3294.9166666666665</v>
      </c>
      <c r="AZ68" s="373">
        <v>0.15747355986571096</v>
      </c>
      <c r="BA68" s="374">
        <v>2927.25</v>
      </c>
      <c r="BB68" s="375">
        <v>0.1275609884805486</v>
      </c>
      <c r="BC68" s="376">
        <v>2709.222222222222</v>
      </c>
      <c r="BD68" s="377">
        <v>0.22253489341529953</v>
      </c>
      <c r="BE68" s="182"/>
    </row>
    <row r="69" spans="1:52" ht="15">
      <c r="A69" s="94"/>
      <c r="B69" s="94"/>
      <c r="C69" s="94"/>
      <c r="D69" s="94"/>
      <c r="E69" s="94"/>
      <c r="F69" s="94"/>
      <c r="G69" s="78" t="s">
        <v>75</v>
      </c>
      <c r="H69" s="82" t="s">
        <v>78</v>
      </c>
      <c r="I69" s="703">
        <v>1013183.145</v>
      </c>
      <c r="J69" s="20">
        <v>805930.7690233368</v>
      </c>
      <c r="K69" s="704">
        <v>207252.3759766632</v>
      </c>
      <c r="L69" s="665" t="s">
        <v>69</v>
      </c>
      <c r="M69" s="661">
        <v>41134</v>
      </c>
      <c r="N69" s="20">
        <v>152962.3049999999</v>
      </c>
      <c r="O69" s="20">
        <v>94653.58</v>
      </c>
      <c r="P69" s="74" t="s">
        <v>292</v>
      </c>
      <c r="Q69" s="14" t="s">
        <v>293</v>
      </c>
      <c r="R69" s="699">
        <v>900584.3490233368</v>
      </c>
      <c r="AF69" s="378">
        <v>51.828731492597036</v>
      </c>
      <c r="AG69" s="379">
        <v>43.9789617240565</v>
      </c>
      <c r="AH69" s="379">
        <v>2.1332392698762117</v>
      </c>
      <c r="AI69" s="379">
        <v>49.554883096170116</v>
      </c>
      <c r="AJ69" s="199"/>
      <c r="AK69" s="379">
        <v>4.332915909897181</v>
      </c>
      <c r="AL69" s="378">
        <v>41.910097372282245</v>
      </c>
      <c r="AM69" s="379">
        <v>3.897574161895989</v>
      </c>
      <c r="AN69" s="379">
        <v>1.6704319777878454</v>
      </c>
      <c r="AO69" s="379">
        <v>84.06464749555747</v>
      </c>
      <c r="AP69" s="379">
        <v>0.22360824959743483</v>
      </c>
      <c r="AQ69" s="379">
        <v>10.143738115161263</v>
      </c>
      <c r="AR69" s="378">
        <v>6.010404161664666</v>
      </c>
      <c r="AS69" s="379">
        <v>14.865256652311956</v>
      </c>
      <c r="AT69" s="379">
        <v>7.655373823514854</v>
      </c>
      <c r="AU69" s="379">
        <v>50.665054413542926</v>
      </c>
      <c r="AV69" s="199"/>
      <c r="AW69" s="379">
        <v>26.814315110630265</v>
      </c>
      <c r="AZ69" s="293">
        <v>0.15747355986571096</v>
      </c>
    </row>
    <row r="70" spans="1:52" ht="15">
      <c r="A70" s="94"/>
      <c r="B70" s="94"/>
      <c r="C70" s="94"/>
      <c r="D70" s="94"/>
      <c r="E70" s="94"/>
      <c r="F70" s="94"/>
      <c r="G70" s="656" t="s">
        <v>265</v>
      </c>
      <c r="H70" s="82" t="s">
        <v>38</v>
      </c>
      <c r="I70" s="703">
        <v>1068466.0050000001</v>
      </c>
      <c r="J70" s="20">
        <v>938618.15</v>
      </c>
      <c r="K70" s="704">
        <v>129847.8550000001</v>
      </c>
      <c r="L70" s="96" t="s">
        <v>80</v>
      </c>
      <c r="M70" s="88">
        <v>41187</v>
      </c>
      <c r="N70" s="20">
        <v>162817.24499999994</v>
      </c>
      <c r="O70" s="20"/>
      <c r="P70" s="95"/>
      <c r="Q70" s="81"/>
      <c r="R70" s="699">
        <v>938618.15</v>
      </c>
      <c r="S70" s="182"/>
      <c r="AF70" s="331" t="s">
        <v>157</v>
      </c>
      <c r="AG70" s="329"/>
      <c r="AZ70" s="293"/>
    </row>
    <row r="71" spans="1:38" ht="15">
      <c r="A71" s="94"/>
      <c r="B71" s="94"/>
      <c r="C71" s="94"/>
      <c r="D71" s="94"/>
      <c r="E71" s="94"/>
      <c r="F71" s="94"/>
      <c r="G71" s="656" t="s">
        <v>268</v>
      </c>
      <c r="H71" s="82" t="s">
        <v>39</v>
      </c>
      <c r="I71" s="703">
        <v>1203615.8499999999</v>
      </c>
      <c r="J71" s="20">
        <v>966304.88</v>
      </c>
      <c r="K71" s="704">
        <v>237310.96999999986</v>
      </c>
      <c r="L71" s="666" t="s">
        <v>280</v>
      </c>
      <c r="M71" s="662">
        <v>41214</v>
      </c>
      <c r="N71" s="20">
        <v>0</v>
      </c>
      <c r="O71" s="20"/>
      <c r="P71" s="95"/>
      <c r="Q71" s="81"/>
      <c r="R71" s="699">
        <v>966304.88</v>
      </c>
      <c r="AF71" s="329" t="s">
        <v>154</v>
      </c>
      <c r="AG71" s="330">
        <v>20.913930846088146</v>
      </c>
      <c r="AJ71" s="687"/>
      <c r="AK71" s="687"/>
      <c r="AL71" s="687"/>
    </row>
    <row r="72" spans="1:38" ht="15">
      <c r="A72" s="94"/>
      <c r="B72" s="94"/>
      <c r="C72" s="94"/>
      <c r="D72" s="94"/>
      <c r="E72" s="94"/>
      <c r="F72" s="94"/>
      <c r="G72" s="656" t="s">
        <v>269</v>
      </c>
      <c r="H72" s="82" t="s">
        <v>40</v>
      </c>
      <c r="I72" s="703">
        <v>1181692.4000000001</v>
      </c>
      <c r="J72" s="20">
        <v>834631.09</v>
      </c>
      <c r="K72" s="704">
        <v>347061.3100000002</v>
      </c>
      <c r="L72" s="666" t="s">
        <v>278</v>
      </c>
      <c r="M72" s="662">
        <v>41225</v>
      </c>
      <c r="N72" s="20">
        <v>0</v>
      </c>
      <c r="O72" s="20"/>
      <c r="P72" s="95"/>
      <c r="Q72" s="81"/>
      <c r="R72" s="699">
        <v>834631.09</v>
      </c>
      <c r="V72" s="198"/>
      <c r="AF72" s="329" t="s">
        <v>155</v>
      </c>
      <c r="AG72" s="330">
        <v>3.81968169039297</v>
      </c>
      <c r="AJ72" s="687"/>
      <c r="AK72" s="687"/>
      <c r="AL72" s="687"/>
    </row>
    <row r="73" spans="1:33" ht="15">
      <c r="A73" s="94"/>
      <c r="D73" s="94"/>
      <c r="E73" s="94"/>
      <c r="F73" s="94"/>
      <c r="G73" s="656" t="s">
        <v>264</v>
      </c>
      <c r="H73" s="82" t="s">
        <v>41</v>
      </c>
      <c r="I73" s="703">
        <v>586715.5</v>
      </c>
      <c r="J73" s="20">
        <v>586715.5</v>
      </c>
      <c r="K73" s="704">
        <v>0</v>
      </c>
      <c r="L73" s="666" t="s">
        <v>276</v>
      </c>
      <c r="M73" s="662">
        <v>41270</v>
      </c>
      <c r="N73" s="20">
        <v>0</v>
      </c>
      <c r="O73" s="20"/>
      <c r="P73" s="95"/>
      <c r="Q73" s="81"/>
      <c r="R73" s="699">
        <v>586715.5</v>
      </c>
      <c r="AF73" s="329" t="s">
        <v>156</v>
      </c>
      <c r="AG73" s="330">
        <v>0.07453608319914494</v>
      </c>
    </row>
    <row r="74" spans="7:33" ht="15" customHeight="1">
      <c r="G74" s="656" t="s">
        <v>271</v>
      </c>
      <c r="H74" s="82" t="s">
        <v>42</v>
      </c>
      <c r="I74" s="703">
        <v>563374.95</v>
      </c>
      <c r="J74" s="20">
        <v>514380.73</v>
      </c>
      <c r="K74" s="704">
        <v>48994.21999999997</v>
      </c>
      <c r="L74" s="666" t="s">
        <v>274</v>
      </c>
      <c r="M74" s="662">
        <v>41352</v>
      </c>
      <c r="N74" s="20">
        <v>0</v>
      </c>
      <c r="O74" s="20"/>
      <c r="P74" s="95"/>
      <c r="Q74" s="81"/>
      <c r="R74" s="699">
        <v>514380.73</v>
      </c>
      <c r="AF74" s="329" t="s">
        <v>108</v>
      </c>
      <c r="AG74" s="330">
        <v>61.42819500175684</v>
      </c>
    </row>
    <row r="75" spans="7:33" ht="15" customHeight="1">
      <c r="G75" s="657" t="s">
        <v>306</v>
      </c>
      <c r="H75" s="83" t="s">
        <v>43</v>
      </c>
      <c r="I75" s="708">
        <v>528552.8</v>
      </c>
      <c r="J75" s="79">
        <v>526095.16</v>
      </c>
      <c r="K75" s="706">
        <v>2457.640000000014</v>
      </c>
      <c r="L75" s="667" t="s">
        <v>273</v>
      </c>
      <c r="M75" s="663">
        <v>41323</v>
      </c>
      <c r="N75" s="79">
        <v>0</v>
      </c>
      <c r="O75" s="79"/>
      <c r="P75" s="658"/>
      <c r="Q75" s="659"/>
      <c r="R75" s="457">
        <v>526095.16</v>
      </c>
      <c r="AF75" s="329" t="s">
        <v>46</v>
      </c>
      <c r="AG75" s="330">
        <v>13.763656378562905</v>
      </c>
    </row>
    <row r="76" spans="9:18" ht="15">
      <c r="I76" s="523">
        <v>8816902.845</v>
      </c>
      <c r="J76" s="700">
        <v>7604071.744706199</v>
      </c>
      <c r="N76" s="700">
        <v>717129.4049999998</v>
      </c>
      <c r="O76" s="700">
        <v>434894.72000000003</v>
      </c>
      <c r="R76" s="700">
        <v>8038966.464706199</v>
      </c>
    </row>
    <row r="77" spans="14:17" ht="15">
      <c r="N77" s="523">
        <v>9534032.25</v>
      </c>
      <c r="O77" s="94">
        <v>8038966.464706198</v>
      </c>
      <c r="P77" s="94">
        <v>1495065.7852938017</v>
      </c>
      <c r="Q77" s="698"/>
    </row>
    <row r="78" ht="15">
      <c r="Q78" s="698"/>
    </row>
    <row r="80" spans="2:40" ht="15">
      <c r="B80" s="116"/>
      <c r="C80" s="253"/>
      <c r="D80" s="254" t="s">
        <v>102</v>
      </c>
      <c r="E80" s="255"/>
      <c r="F80" s="256"/>
      <c r="G80" s="257" t="s">
        <v>103</v>
      </c>
      <c r="H80" s="258"/>
      <c r="I80" s="253"/>
      <c r="J80" s="259" t="s">
        <v>46</v>
      </c>
      <c r="K80" s="260"/>
      <c r="L80" s="102"/>
      <c r="M80" s="108"/>
      <c r="N80" s="108"/>
      <c r="O80" s="108"/>
      <c r="P80" s="108"/>
      <c r="Q80" s="108" t="s">
        <v>115</v>
      </c>
      <c r="R80" s="108" t="s">
        <v>116</v>
      </c>
      <c r="S80" s="290">
        <v>37.39447517683605</v>
      </c>
      <c r="T80" s="291">
        <v>62.60552482316394</v>
      </c>
      <c r="W80" s="912"/>
      <c r="X80" s="912"/>
      <c r="Y80" s="912"/>
      <c r="Z80" s="912"/>
      <c r="AA80" s="912"/>
      <c r="AB80" s="912"/>
      <c r="AF80" s="913" t="s">
        <v>182</v>
      </c>
      <c r="AG80" s="793"/>
      <c r="AH80" s="793"/>
      <c r="AI80" s="793"/>
      <c r="AJ80" s="793"/>
      <c r="AK80" s="793"/>
      <c r="AL80" s="793"/>
      <c r="AM80" s="793"/>
      <c r="AN80" s="794"/>
    </row>
    <row r="81" spans="2:40" ht="25.5">
      <c r="B81" s="117"/>
      <c r="C81" s="110" t="s">
        <v>98</v>
      </c>
      <c r="D81" s="111" t="s">
        <v>99</v>
      </c>
      <c r="E81" s="112" t="s">
        <v>100</v>
      </c>
      <c r="F81" s="110" t="s">
        <v>98</v>
      </c>
      <c r="G81" s="111" t="s">
        <v>99</v>
      </c>
      <c r="H81" s="112" t="s">
        <v>100</v>
      </c>
      <c r="I81" s="110" t="s">
        <v>98</v>
      </c>
      <c r="J81" s="111" t="s">
        <v>99</v>
      </c>
      <c r="K81" s="109" t="s">
        <v>100</v>
      </c>
      <c r="L81" s="114" t="s">
        <v>101</v>
      </c>
      <c r="M81" s="119" t="s">
        <v>110</v>
      </c>
      <c r="N81" s="119" t="s">
        <v>111</v>
      </c>
      <c r="O81" s="119" t="s">
        <v>112</v>
      </c>
      <c r="P81" s="113" t="s">
        <v>27</v>
      </c>
      <c r="Q81" s="113" t="s">
        <v>105</v>
      </c>
      <c r="R81" s="113" t="s">
        <v>106</v>
      </c>
      <c r="S81" s="289" t="s">
        <v>8</v>
      </c>
      <c r="T81" s="288" t="s">
        <v>97</v>
      </c>
      <c r="U81" s="134" t="s">
        <v>129</v>
      </c>
      <c r="V81" s="526" t="s">
        <v>130</v>
      </c>
      <c r="W81" s="58"/>
      <c r="X81" s="525"/>
      <c r="Y81" s="58"/>
      <c r="Z81" s="58"/>
      <c r="AA81" s="58"/>
      <c r="AB81" s="58"/>
      <c r="AF81" s="795" t="s">
        <v>171</v>
      </c>
      <c r="AG81" s="793"/>
      <c r="AH81" s="794"/>
      <c r="AI81" s="792" t="s">
        <v>172</v>
      </c>
      <c r="AJ81" s="793"/>
      <c r="AK81" s="794"/>
      <c r="AL81" s="795" t="s">
        <v>173</v>
      </c>
      <c r="AM81" s="793"/>
      <c r="AN81" s="794"/>
    </row>
    <row r="82" spans="2:55" ht="15">
      <c r="B82" s="115">
        <v>40909</v>
      </c>
      <c r="C82" s="261">
        <v>311570.55</v>
      </c>
      <c r="D82" s="261">
        <v>48588</v>
      </c>
      <c r="E82" s="261">
        <v>145764</v>
      </c>
      <c r="F82" s="261">
        <v>635067.3600000001</v>
      </c>
      <c r="G82" s="261">
        <v>180426.24000000002</v>
      </c>
      <c r="H82" s="261">
        <v>330048</v>
      </c>
      <c r="I82" s="261">
        <v>67032</v>
      </c>
      <c r="J82" s="261">
        <v>10584</v>
      </c>
      <c r="K82" s="262">
        <v>35280</v>
      </c>
      <c r="L82" s="263"/>
      <c r="M82" s="264">
        <v>1013669.9100000001</v>
      </c>
      <c r="N82" s="265">
        <v>239598.24000000002</v>
      </c>
      <c r="O82" s="264">
        <v>511092</v>
      </c>
      <c r="P82" s="264">
        <v>1764360.1500000001</v>
      </c>
      <c r="Q82" s="264">
        <v>159224.18999999994</v>
      </c>
      <c r="R82" s="266">
        <v>48105.659999999945</v>
      </c>
      <c r="S82" s="267">
        <v>89139.68</v>
      </c>
      <c r="T82" s="137">
        <v>150458.56</v>
      </c>
      <c r="U82" s="135">
        <v>20918.469999999994</v>
      </c>
      <c r="V82" s="137">
        <v>27187.18999999998</v>
      </c>
      <c r="AF82" s="797" t="s">
        <v>168</v>
      </c>
      <c r="AG82" s="791" t="s">
        <v>167</v>
      </c>
      <c r="AH82" s="796" t="s">
        <v>184</v>
      </c>
      <c r="AI82" s="797" t="s">
        <v>168</v>
      </c>
      <c r="AJ82" s="791" t="s">
        <v>167</v>
      </c>
      <c r="AK82" s="796" t="s">
        <v>184</v>
      </c>
      <c r="AL82" s="797" t="s">
        <v>169</v>
      </c>
      <c r="AM82" s="791" t="s">
        <v>167</v>
      </c>
      <c r="AN82" s="796" t="s">
        <v>184</v>
      </c>
      <c r="AP82" s="805" t="s">
        <v>181</v>
      </c>
      <c r="AQ82" s="805"/>
      <c r="AR82" s="805"/>
      <c r="AS82" s="805"/>
      <c r="AT82" s="805"/>
      <c r="AU82" s="805"/>
      <c r="AV82" s="805"/>
      <c r="AW82" s="805"/>
      <c r="AX82" s="805"/>
      <c r="AY82" s="805"/>
      <c r="AZ82" s="805"/>
      <c r="BA82" s="805"/>
      <c r="BB82" s="805"/>
      <c r="BC82" s="805"/>
    </row>
    <row r="83" spans="2:58" ht="15">
      <c r="B83" s="115">
        <v>40940</v>
      </c>
      <c r="C83" s="261">
        <v>364358.25</v>
      </c>
      <c r="D83" s="261">
        <v>56820</v>
      </c>
      <c r="E83" s="261">
        <v>170460</v>
      </c>
      <c r="F83" s="261">
        <v>720581.175</v>
      </c>
      <c r="G83" s="261">
        <v>204721.2</v>
      </c>
      <c r="H83" s="261">
        <v>374490</v>
      </c>
      <c r="I83" s="261">
        <v>65322</v>
      </c>
      <c r="J83" s="261">
        <v>10314</v>
      </c>
      <c r="K83" s="262">
        <v>34380</v>
      </c>
      <c r="L83" s="263"/>
      <c r="M83" s="264">
        <v>1150261.425</v>
      </c>
      <c r="N83" s="265">
        <v>271855.2</v>
      </c>
      <c r="O83" s="264">
        <v>579330</v>
      </c>
      <c r="P83" s="264">
        <v>2001446.625</v>
      </c>
      <c r="Q83" s="264">
        <v>178903.42500000005</v>
      </c>
      <c r="R83" s="266">
        <v>55243.04999999993</v>
      </c>
      <c r="S83" s="267">
        <v>93113.44</v>
      </c>
      <c r="T83" s="138">
        <v>178741.76</v>
      </c>
      <c r="U83" s="136">
        <v>22135.309999999983</v>
      </c>
      <c r="V83" s="138">
        <v>33107.73999999998</v>
      </c>
      <c r="AA83" s="182"/>
      <c r="AB83" s="182"/>
      <c r="AC83" s="182"/>
      <c r="AD83" s="182"/>
      <c r="AF83" s="775"/>
      <c r="AG83" s="775"/>
      <c r="AH83" s="775"/>
      <c r="AI83" s="798"/>
      <c r="AJ83" s="800"/>
      <c r="AK83" s="775"/>
      <c r="AL83" s="798"/>
      <c r="AM83" s="800"/>
      <c r="AN83" s="775"/>
      <c r="AP83" s="806" t="s">
        <v>183</v>
      </c>
      <c r="AQ83" s="692" t="s">
        <v>185</v>
      </c>
      <c r="AR83" s="404" t="s">
        <v>180</v>
      </c>
      <c r="AS83" s="404" t="s">
        <v>174</v>
      </c>
      <c r="AT83" s="404" t="s">
        <v>175</v>
      </c>
      <c r="AU83" s="339" t="s">
        <v>179</v>
      </c>
      <c r="AV83" s="339" t="s">
        <v>174</v>
      </c>
      <c r="AW83" s="339" t="s">
        <v>175</v>
      </c>
      <c r="AX83" s="405" t="s">
        <v>178</v>
      </c>
      <c r="AY83" s="405" t="s">
        <v>174</v>
      </c>
      <c r="AZ83" s="405" t="s">
        <v>175</v>
      </c>
      <c r="BA83" s="406" t="s">
        <v>177</v>
      </c>
      <c r="BB83" s="406" t="s">
        <v>176</v>
      </c>
      <c r="BC83" s="406" t="s">
        <v>175</v>
      </c>
      <c r="BD83" s="407" t="s">
        <v>173</v>
      </c>
      <c r="BE83" s="408" t="s">
        <v>174</v>
      </c>
      <c r="BF83" s="408" t="s">
        <v>175</v>
      </c>
    </row>
    <row r="84" spans="2:58" ht="15">
      <c r="B84" s="115">
        <v>40969</v>
      </c>
      <c r="C84" s="261">
        <v>397793.02499999997</v>
      </c>
      <c r="D84" s="261">
        <v>62034</v>
      </c>
      <c r="E84" s="261">
        <v>186102</v>
      </c>
      <c r="F84" s="261">
        <v>843916.41</v>
      </c>
      <c r="G84" s="261">
        <v>239761.44</v>
      </c>
      <c r="H84" s="261">
        <v>438588</v>
      </c>
      <c r="I84" s="261">
        <v>79002</v>
      </c>
      <c r="J84" s="261">
        <v>12474</v>
      </c>
      <c r="K84" s="262">
        <v>41580</v>
      </c>
      <c r="L84" s="263"/>
      <c r="M84" s="264">
        <v>1320711.435</v>
      </c>
      <c r="N84" s="265">
        <v>314269.44</v>
      </c>
      <c r="O84" s="264">
        <v>666270</v>
      </c>
      <c r="P84" s="264">
        <v>2301250.875</v>
      </c>
      <c r="Q84" s="264">
        <v>208441.81499999994</v>
      </c>
      <c r="R84" s="266">
        <v>61559.31</v>
      </c>
      <c r="S84" s="267">
        <v>101438.32</v>
      </c>
      <c r="T84" s="138">
        <v>212831.12</v>
      </c>
      <c r="U84" s="136">
        <v>23765.779999999977</v>
      </c>
      <c r="V84" s="138">
        <v>37793.52999999999</v>
      </c>
      <c r="AF84" s="776"/>
      <c r="AG84" s="776"/>
      <c r="AH84" s="776"/>
      <c r="AI84" s="799"/>
      <c r="AJ84" s="801"/>
      <c r="AK84" s="776"/>
      <c r="AL84" s="799"/>
      <c r="AM84" s="801"/>
      <c r="AN84" s="776"/>
      <c r="AP84" s="807"/>
      <c r="AQ84" s="693">
        <v>4348.259999999999</v>
      </c>
      <c r="AR84" s="399">
        <v>909.3920894081123</v>
      </c>
      <c r="AS84" s="400">
        <v>340.0623991338273</v>
      </c>
      <c r="AT84" s="400">
        <v>569.329690274285</v>
      </c>
      <c r="AU84" s="369">
        <v>166.08969107068134</v>
      </c>
      <c r="AV84" s="369">
        <v>62.10836829870962</v>
      </c>
      <c r="AW84" s="369">
        <v>103.9813227719717</v>
      </c>
      <c r="AX84" s="401">
        <v>3.2410226913151394</v>
      </c>
      <c r="AY84" s="401">
        <v>1.2119634257794636</v>
      </c>
      <c r="AZ84" s="401">
        <v>2.0290592655356754</v>
      </c>
      <c r="BA84" s="402">
        <v>2671.0576319833913</v>
      </c>
      <c r="BB84" s="402">
        <v>998.8279831510142</v>
      </c>
      <c r="BC84" s="402">
        <v>1672.229648832377</v>
      </c>
      <c r="BD84" s="403">
        <v>598.4795648464992</v>
      </c>
      <c r="BE84" s="403">
        <v>223.79829231496058</v>
      </c>
      <c r="BF84" s="403">
        <v>374.6812725315386</v>
      </c>
    </row>
    <row r="85" spans="2:58" ht="15">
      <c r="B85" s="115">
        <v>41000</v>
      </c>
      <c r="C85" s="261">
        <v>407078.325</v>
      </c>
      <c r="D85" s="261">
        <v>63482</v>
      </c>
      <c r="E85" s="261">
        <v>190446</v>
      </c>
      <c r="F85" s="261">
        <v>909688.275</v>
      </c>
      <c r="G85" s="261">
        <v>258447.6</v>
      </c>
      <c r="H85" s="261">
        <v>472770</v>
      </c>
      <c r="I85" s="261">
        <v>80712</v>
      </c>
      <c r="J85" s="261">
        <v>12744</v>
      </c>
      <c r="K85" s="262">
        <v>42480</v>
      </c>
      <c r="L85" s="263"/>
      <c r="M85" s="264">
        <v>1397478.6</v>
      </c>
      <c r="N85" s="265">
        <v>334673.6</v>
      </c>
      <c r="O85" s="264">
        <v>705696</v>
      </c>
      <c r="P85" s="264">
        <v>2437848.2</v>
      </c>
      <c r="Q85" s="264">
        <v>222476.30000000005</v>
      </c>
      <c r="R85" s="266">
        <v>63667.600000000035</v>
      </c>
      <c r="S85" s="267">
        <v>108790.40000000001</v>
      </c>
      <c r="T85" s="138">
        <v>225883.2</v>
      </c>
      <c r="U85" s="136">
        <v>25169.04999999999</v>
      </c>
      <c r="V85" s="138">
        <v>38498.54999999995</v>
      </c>
      <c r="AE85" s="215" t="s">
        <v>144</v>
      </c>
      <c r="AF85" s="381">
        <v>170935</v>
      </c>
      <c r="AG85" s="384">
        <v>121470</v>
      </c>
      <c r="AH85" s="423">
        <v>-0.28937900371486236</v>
      </c>
      <c r="AI85" s="381">
        <v>359460</v>
      </c>
      <c r="AJ85" s="384">
        <v>275040</v>
      </c>
      <c r="AK85" s="391">
        <v>-0.23485227841762643</v>
      </c>
      <c r="AL85" s="381">
        <v>44460</v>
      </c>
      <c r="AM85" s="389">
        <v>35280</v>
      </c>
      <c r="AN85" s="391">
        <v>-0.20647773279352227</v>
      </c>
      <c r="AP85" s="421">
        <v>180</v>
      </c>
      <c r="AQ85" s="397" t="s">
        <v>144</v>
      </c>
      <c r="AR85" s="409">
        <v>16369.05760934602</v>
      </c>
      <c r="AS85" s="409">
        <v>6121.123184408892</v>
      </c>
      <c r="AT85" s="409">
        <v>10247.934424937128</v>
      </c>
      <c r="AU85" s="410">
        <v>1993.076292848176</v>
      </c>
      <c r="AV85" s="410">
        <v>745.3004195845155</v>
      </c>
      <c r="AW85" s="410">
        <v>1247.7758732636605</v>
      </c>
      <c r="AX85" s="411">
        <v>19.446136147890837</v>
      </c>
      <c r="AY85" s="411">
        <v>7.2717805546767815</v>
      </c>
      <c r="AZ85" s="411">
        <v>12.174355593214054</v>
      </c>
      <c r="BA85" s="412">
        <v>10684.230527933565</v>
      </c>
      <c r="BB85" s="412">
        <v>3995.311932604057</v>
      </c>
      <c r="BC85" s="412">
        <v>6688.918595329508</v>
      </c>
      <c r="BD85" s="413">
        <v>598.4795648464992</v>
      </c>
      <c r="BE85" s="414">
        <v>223.79829231496058</v>
      </c>
      <c r="BF85" s="414">
        <v>374.6812725315386</v>
      </c>
    </row>
    <row r="86" spans="2:58" ht="15">
      <c r="B86" s="115">
        <v>41030</v>
      </c>
      <c r="C86" s="261">
        <v>795624.525</v>
      </c>
      <c r="D86" s="261">
        <v>124074</v>
      </c>
      <c r="E86" s="261">
        <v>372222</v>
      </c>
      <c r="F86" s="261">
        <v>1606579.11</v>
      </c>
      <c r="G86" s="261">
        <v>456438.24</v>
      </c>
      <c r="H86" s="261">
        <v>834948</v>
      </c>
      <c r="I86" s="261">
        <v>161766</v>
      </c>
      <c r="J86" s="261">
        <v>25542</v>
      </c>
      <c r="K86" s="262">
        <v>85140</v>
      </c>
      <c r="L86" s="263"/>
      <c r="M86" s="264">
        <v>2563969.6350000002</v>
      </c>
      <c r="N86" s="265">
        <v>606054.24</v>
      </c>
      <c r="O86" s="264">
        <v>1292310</v>
      </c>
      <c r="P86" s="264">
        <v>4462333.875</v>
      </c>
      <c r="Q86" s="264">
        <v>401494.8149999995</v>
      </c>
      <c r="R86" s="266">
        <v>122124.51000000001</v>
      </c>
      <c r="S86" s="267">
        <v>218831.04</v>
      </c>
      <c r="T86" s="138">
        <v>387223.2</v>
      </c>
      <c r="U86" s="136">
        <v>48680.45999999996</v>
      </c>
      <c r="V86" s="138">
        <v>73444.04999999997</v>
      </c>
      <c r="AE86" s="394" t="s">
        <v>33</v>
      </c>
      <c r="AF86" s="382">
        <v>174280</v>
      </c>
      <c r="AG86" s="385">
        <v>142050</v>
      </c>
      <c r="AH86" s="392">
        <v>-0.18493229286206106</v>
      </c>
      <c r="AI86" s="382">
        <v>383490</v>
      </c>
      <c r="AJ86" s="385">
        <v>312075</v>
      </c>
      <c r="AK86" s="392">
        <v>-0.18622389110537432</v>
      </c>
      <c r="AL86" s="382">
        <v>43380</v>
      </c>
      <c r="AM86" s="386">
        <v>34380</v>
      </c>
      <c r="AN86" s="392">
        <v>-0.2074688796680498</v>
      </c>
      <c r="AP86" s="421">
        <v>180</v>
      </c>
      <c r="AQ86" s="397" t="s">
        <v>33</v>
      </c>
      <c r="AR86" s="409">
        <v>16369.05760934602</v>
      </c>
      <c r="AS86" s="409">
        <v>6121.123184408892</v>
      </c>
      <c r="AT86" s="409">
        <v>10247.934424937128</v>
      </c>
      <c r="AU86" s="410">
        <v>1993.076292848176</v>
      </c>
      <c r="AV86" s="410">
        <v>745.3004195845155</v>
      </c>
      <c r="AW86" s="410">
        <v>1247.7758732636605</v>
      </c>
      <c r="AX86" s="411">
        <v>19.446136147890837</v>
      </c>
      <c r="AY86" s="411">
        <v>7.2717805546767815</v>
      </c>
      <c r="AZ86" s="411">
        <v>12.174355593214054</v>
      </c>
      <c r="BA86" s="412">
        <v>10684.230527933565</v>
      </c>
      <c r="BB86" s="412">
        <v>3995.311932604057</v>
      </c>
      <c r="BC86" s="412">
        <v>6688.918595329508</v>
      </c>
      <c r="BD86" s="413">
        <v>598.4795648464992</v>
      </c>
      <c r="BE86" s="414">
        <v>223.79829231496058</v>
      </c>
      <c r="BF86" s="414">
        <v>374.6812725315386</v>
      </c>
    </row>
    <row r="87" spans="2:58" ht="15">
      <c r="B87" s="115">
        <v>41061</v>
      </c>
      <c r="C87" s="261">
        <v>790084.125</v>
      </c>
      <c r="D87" s="261">
        <v>123210</v>
      </c>
      <c r="E87" s="261">
        <v>369630</v>
      </c>
      <c r="F87" s="261">
        <v>1615307.1300000001</v>
      </c>
      <c r="G87" s="261">
        <v>458917.92000000004</v>
      </c>
      <c r="H87" s="261">
        <v>839484</v>
      </c>
      <c r="I87" s="261">
        <v>172368</v>
      </c>
      <c r="J87" s="261">
        <v>27216</v>
      </c>
      <c r="K87" s="262">
        <v>90720</v>
      </c>
      <c r="L87" s="263"/>
      <c r="M87" s="264">
        <v>2577759.255</v>
      </c>
      <c r="N87" s="265">
        <v>609343.92</v>
      </c>
      <c r="O87" s="264">
        <v>1299834</v>
      </c>
      <c r="P87" s="264">
        <v>4486937.175</v>
      </c>
      <c r="Q87" s="264">
        <v>405267.7949999999</v>
      </c>
      <c r="R87" s="266">
        <v>122184.62999999989</v>
      </c>
      <c r="S87" s="267">
        <v>232050.48</v>
      </c>
      <c r="T87" s="138">
        <v>377293.44</v>
      </c>
      <c r="U87" s="136">
        <v>53017.76999999996</v>
      </c>
      <c r="V87" s="138">
        <v>69166.85999999997</v>
      </c>
      <c r="AE87" s="394" t="s">
        <v>34</v>
      </c>
      <c r="AF87" s="382">
        <v>174590</v>
      </c>
      <c r="AG87" s="385">
        <v>155085</v>
      </c>
      <c r="AH87" s="392">
        <v>-0.1117188842430838</v>
      </c>
      <c r="AI87" s="382">
        <v>406170</v>
      </c>
      <c r="AJ87" s="385">
        <v>365490</v>
      </c>
      <c r="AK87" s="392">
        <v>-0.10015510746731664</v>
      </c>
      <c r="AL87" s="382">
        <v>47880</v>
      </c>
      <c r="AM87" s="386">
        <v>41580</v>
      </c>
      <c r="AN87" s="392">
        <v>-0.13157894736842105</v>
      </c>
      <c r="AP87" s="421">
        <v>180</v>
      </c>
      <c r="AQ87" s="397" t="s">
        <v>34</v>
      </c>
      <c r="AR87" s="409">
        <v>16369.05760934602</v>
      </c>
      <c r="AS87" s="409">
        <v>6121.123184408892</v>
      </c>
      <c r="AT87" s="409">
        <v>10247.934424937128</v>
      </c>
      <c r="AU87" s="410">
        <v>1993.076292848176</v>
      </c>
      <c r="AV87" s="410">
        <v>745.3004195845155</v>
      </c>
      <c r="AW87" s="410">
        <v>1247.7758732636605</v>
      </c>
      <c r="AX87" s="411">
        <v>19.446136147890837</v>
      </c>
      <c r="AY87" s="411">
        <v>7.2717805546767815</v>
      </c>
      <c r="AZ87" s="411">
        <v>12.174355593214054</v>
      </c>
      <c r="BA87" s="412">
        <v>10684.230527933565</v>
      </c>
      <c r="BB87" s="412">
        <v>3995.311932604057</v>
      </c>
      <c r="BC87" s="412">
        <v>6688.918595329508</v>
      </c>
      <c r="BD87" s="413">
        <v>598.4795648464992</v>
      </c>
      <c r="BE87" s="414">
        <v>223.79829231496058</v>
      </c>
      <c r="BF87" s="414">
        <v>374.6812725315386</v>
      </c>
    </row>
    <row r="88" spans="2:58" ht="15">
      <c r="B88" s="115">
        <v>41091</v>
      </c>
      <c r="C88" s="261">
        <v>718494.975</v>
      </c>
      <c r="D88" s="261">
        <v>112046</v>
      </c>
      <c r="E88" s="261">
        <v>336138</v>
      </c>
      <c r="F88" s="261">
        <v>1676818.8900000001</v>
      </c>
      <c r="G88" s="261">
        <v>476393.76</v>
      </c>
      <c r="H88" s="261">
        <v>871452</v>
      </c>
      <c r="I88" s="261">
        <v>176472</v>
      </c>
      <c r="J88" s="261">
        <v>27864</v>
      </c>
      <c r="K88" s="262">
        <v>92880</v>
      </c>
      <c r="L88" s="263"/>
      <c r="M88" s="264">
        <v>2571785.865</v>
      </c>
      <c r="N88" s="265">
        <v>616303.76</v>
      </c>
      <c r="O88" s="264">
        <v>1300470</v>
      </c>
      <c r="P88" s="264">
        <v>4488559.625</v>
      </c>
      <c r="Q88" s="264">
        <v>414409.08499999996</v>
      </c>
      <c r="R88" s="266">
        <v>115212.48999999999</v>
      </c>
      <c r="S88" s="267">
        <v>245902.32</v>
      </c>
      <c r="T88" s="138">
        <v>370401.44</v>
      </c>
      <c r="U88" s="136">
        <v>54932.129999999976</v>
      </c>
      <c r="V88" s="138">
        <v>60280.35999999997</v>
      </c>
      <c r="AE88" s="394" t="s">
        <v>35</v>
      </c>
      <c r="AF88" s="382">
        <v>186055</v>
      </c>
      <c r="AG88" s="385">
        <v>158705</v>
      </c>
      <c r="AH88" s="392">
        <v>-0.14699954314584396</v>
      </c>
      <c r="AI88" s="382">
        <v>418590</v>
      </c>
      <c r="AJ88" s="385">
        <v>393975</v>
      </c>
      <c r="AK88" s="392">
        <v>-0.058804558159535586</v>
      </c>
      <c r="AL88" s="382">
        <v>48600</v>
      </c>
      <c r="AM88" s="386">
        <v>42480</v>
      </c>
      <c r="AN88" s="392">
        <v>-0.1259259259259259</v>
      </c>
      <c r="AP88" s="421">
        <v>180</v>
      </c>
      <c r="AQ88" s="397" t="s">
        <v>35</v>
      </c>
      <c r="AR88" s="409">
        <v>16369.05760934602</v>
      </c>
      <c r="AS88" s="409">
        <v>6121.123184408892</v>
      </c>
      <c r="AT88" s="409">
        <v>10247.934424937128</v>
      </c>
      <c r="AU88" s="410">
        <v>1993.076292848176</v>
      </c>
      <c r="AV88" s="410">
        <v>745.3004195845155</v>
      </c>
      <c r="AW88" s="410">
        <v>1247.7758732636605</v>
      </c>
      <c r="AX88" s="411">
        <v>19.446136147890837</v>
      </c>
      <c r="AY88" s="411">
        <v>7.2717805546767815</v>
      </c>
      <c r="AZ88" s="411">
        <v>12.174355593214054</v>
      </c>
      <c r="BA88" s="412">
        <v>10684.230527933565</v>
      </c>
      <c r="BB88" s="412">
        <v>3995.311932604057</v>
      </c>
      <c r="BC88" s="412">
        <v>6688.918595329508</v>
      </c>
      <c r="BD88" s="413">
        <v>598.4795648464992</v>
      </c>
      <c r="BE88" s="414">
        <v>223.79829231496058</v>
      </c>
      <c r="BF88" s="414">
        <v>374.6812725315386</v>
      </c>
    </row>
    <row r="89" spans="2:58" ht="15">
      <c r="B89" s="115">
        <v>41122</v>
      </c>
      <c r="C89" s="261">
        <v>725656.7</v>
      </c>
      <c r="D89" s="261">
        <v>184761.3</v>
      </c>
      <c r="E89" s="261">
        <v>428432</v>
      </c>
      <c r="F89" s="261">
        <v>1938639.9</v>
      </c>
      <c r="G89" s="261">
        <v>482910.3</v>
      </c>
      <c r="H89" s="261">
        <v>1119792</v>
      </c>
      <c r="I89" s="261">
        <v>228427.19999999998</v>
      </c>
      <c r="J89" s="261">
        <v>39384</v>
      </c>
      <c r="K89" s="262">
        <v>127998</v>
      </c>
      <c r="L89" s="263"/>
      <c r="M89" s="264">
        <v>2892723.8</v>
      </c>
      <c r="N89" s="265">
        <v>707055.6</v>
      </c>
      <c r="O89" s="264">
        <v>1676222</v>
      </c>
      <c r="P89" s="264">
        <v>5276001.399999999</v>
      </c>
      <c r="Q89" s="264">
        <v>0</v>
      </c>
      <c r="R89" s="266">
        <v>0</v>
      </c>
      <c r="S89" s="267">
        <v>294033.75</v>
      </c>
      <c r="T89" s="138">
        <v>413021.85</v>
      </c>
      <c r="U89" s="136">
        <v>0</v>
      </c>
      <c r="V89" s="138">
        <v>0</v>
      </c>
      <c r="Y89" s="523"/>
      <c r="AE89" s="394" t="s">
        <v>36</v>
      </c>
      <c r="AF89" s="382">
        <v>411390</v>
      </c>
      <c r="AG89" s="385">
        <v>310185</v>
      </c>
      <c r="AH89" s="392">
        <v>-0.246007438197331</v>
      </c>
      <c r="AI89" s="382">
        <v>783945</v>
      </c>
      <c r="AJ89" s="385">
        <v>695790</v>
      </c>
      <c r="AK89" s="392">
        <v>-0.11245049078698123</v>
      </c>
      <c r="AL89" s="382">
        <v>76020</v>
      </c>
      <c r="AM89" s="386">
        <v>85140</v>
      </c>
      <c r="AN89" s="392">
        <v>0.11996842936069456</v>
      </c>
      <c r="AP89" s="421">
        <v>360</v>
      </c>
      <c r="AQ89" s="397" t="s">
        <v>36</v>
      </c>
      <c r="AR89" s="409">
        <v>32738.11521869204</v>
      </c>
      <c r="AS89" s="409">
        <v>12242.246368817783</v>
      </c>
      <c r="AT89" s="409">
        <v>20495.868849874256</v>
      </c>
      <c r="AU89" s="410">
        <v>3986.152585696352</v>
      </c>
      <c r="AV89" s="410">
        <v>1490.600839169031</v>
      </c>
      <c r="AW89" s="410">
        <v>2495.551746527321</v>
      </c>
      <c r="AX89" s="411">
        <v>38.89227229578167</v>
      </c>
      <c r="AY89" s="411">
        <v>14.543561109353563</v>
      </c>
      <c r="AZ89" s="411">
        <v>24.34871118642811</v>
      </c>
      <c r="BA89" s="412">
        <v>21368.46105586713</v>
      </c>
      <c r="BB89" s="412">
        <v>7990.623865208114</v>
      </c>
      <c r="BC89" s="412">
        <v>13377.837190659016</v>
      </c>
      <c r="BD89" s="413">
        <v>598.4795648464992</v>
      </c>
      <c r="BE89" s="414">
        <v>223.79829231496058</v>
      </c>
      <c r="BF89" s="414">
        <v>374.6812725315386</v>
      </c>
    </row>
    <row r="90" spans="2:58" ht="15">
      <c r="B90" s="115">
        <v>41153</v>
      </c>
      <c r="C90" s="261">
        <v>673692.45</v>
      </c>
      <c r="D90" s="261">
        <v>171530.55</v>
      </c>
      <c r="E90" s="261">
        <v>397752</v>
      </c>
      <c r="F90" s="261">
        <v>1749545.85</v>
      </c>
      <c r="G90" s="261">
        <v>435807.44999999995</v>
      </c>
      <c r="H90" s="261">
        <v>1010568</v>
      </c>
      <c r="I90" s="261">
        <v>245548.8</v>
      </c>
      <c r="J90" s="261">
        <v>42336</v>
      </c>
      <c r="K90" s="262">
        <v>137592</v>
      </c>
      <c r="L90" s="263"/>
      <c r="M90" s="264">
        <v>2668787.0999999996</v>
      </c>
      <c r="N90" s="265">
        <v>649674</v>
      </c>
      <c r="O90" s="264">
        <v>1545912</v>
      </c>
      <c r="P90" s="264">
        <v>4864373.1</v>
      </c>
      <c r="Q90" s="264">
        <v>0</v>
      </c>
      <c r="R90" s="266">
        <v>0</v>
      </c>
      <c r="S90" s="267">
        <v>287915.69999999995</v>
      </c>
      <c r="T90" s="138">
        <v>361758.3</v>
      </c>
      <c r="U90" s="136">
        <v>0</v>
      </c>
      <c r="V90" s="138">
        <v>0</v>
      </c>
      <c r="Y90" s="94"/>
      <c r="AE90" s="394" t="s">
        <v>37</v>
      </c>
      <c r="AF90" s="382">
        <v>386270</v>
      </c>
      <c r="AG90" s="385">
        <v>308025</v>
      </c>
      <c r="AH90" s="392">
        <v>-0.20256556294819686</v>
      </c>
      <c r="AI90" s="382">
        <v>985590</v>
      </c>
      <c r="AJ90" s="385">
        <v>699570</v>
      </c>
      <c r="AK90" s="392">
        <v>-0.290201808054059</v>
      </c>
      <c r="AL90" s="382">
        <v>105480</v>
      </c>
      <c r="AM90" s="386">
        <v>90720</v>
      </c>
      <c r="AN90" s="392">
        <v>-0.13993174061433447</v>
      </c>
      <c r="AP90" s="421">
        <v>360</v>
      </c>
      <c r="AQ90" s="397" t="s">
        <v>37</v>
      </c>
      <c r="AR90" s="409">
        <v>32738.11521869204</v>
      </c>
      <c r="AS90" s="409">
        <v>12242.246368817783</v>
      </c>
      <c r="AT90" s="409">
        <v>20495.868849874256</v>
      </c>
      <c r="AU90" s="410">
        <v>3986.152585696352</v>
      </c>
      <c r="AV90" s="410">
        <v>1490.600839169031</v>
      </c>
      <c r="AW90" s="410">
        <v>2495.551746527321</v>
      </c>
      <c r="AX90" s="411">
        <v>38.89227229578167</v>
      </c>
      <c r="AY90" s="411">
        <v>14.543561109353563</v>
      </c>
      <c r="AZ90" s="411">
        <v>24.34871118642811</v>
      </c>
      <c r="BA90" s="412">
        <v>21368.46105586713</v>
      </c>
      <c r="BB90" s="412">
        <v>7990.623865208114</v>
      </c>
      <c r="BC90" s="412">
        <v>13377.837190659016</v>
      </c>
      <c r="BD90" s="413">
        <v>598.4795648464992</v>
      </c>
      <c r="BE90" s="414">
        <v>223.79829231496058</v>
      </c>
      <c r="BF90" s="414">
        <v>374.6812725315386</v>
      </c>
    </row>
    <row r="91" spans="2:58" ht="15">
      <c r="B91" s="115">
        <v>41183</v>
      </c>
      <c r="C91" s="261">
        <v>425388.7</v>
      </c>
      <c r="D91" s="261">
        <v>108309.29999999999</v>
      </c>
      <c r="E91" s="261">
        <v>251152</v>
      </c>
      <c r="F91" s="261">
        <v>1135977</v>
      </c>
      <c r="G91" s="261">
        <v>282969</v>
      </c>
      <c r="H91" s="261">
        <v>656160</v>
      </c>
      <c r="I91" s="261">
        <v>131961.59999999998</v>
      </c>
      <c r="J91" s="261">
        <v>22752</v>
      </c>
      <c r="K91" s="262">
        <v>73944</v>
      </c>
      <c r="L91" s="263"/>
      <c r="M91" s="264">
        <v>1693327.2999999998</v>
      </c>
      <c r="N91" s="265">
        <v>414030.3</v>
      </c>
      <c r="O91" s="264">
        <v>981256</v>
      </c>
      <c r="P91" s="264">
        <v>3088613.6</v>
      </c>
      <c r="Q91" s="264">
        <v>0</v>
      </c>
      <c r="R91" s="266">
        <v>0</v>
      </c>
      <c r="S91" s="267">
        <v>143133</v>
      </c>
      <c r="T91" s="138">
        <v>270897.3</v>
      </c>
      <c r="U91" s="136">
        <v>0</v>
      </c>
      <c r="V91" s="138">
        <v>0</v>
      </c>
      <c r="AE91" s="394" t="s">
        <v>38</v>
      </c>
      <c r="AF91" s="382">
        <v>378775</v>
      </c>
      <c r="AG91" s="385">
        <v>280115</v>
      </c>
      <c r="AH91" s="392">
        <v>-0.26047125602270477</v>
      </c>
      <c r="AI91" s="382">
        <v>960855</v>
      </c>
      <c r="AJ91" s="385">
        <v>726210</v>
      </c>
      <c r="AK91" s="392">
        <v>-0.24420438047364065</v>
      </c>
      <c r="AL91" s="382">
        <v>126000</v>
      </c>
      <c r="AM91" s="386">
        <v>92880</v>
      </c>
      <c r="AN91" s="392">
        <v>-0.26285714285714284</v>
      </c>
      <c r="AP91" s="421">
        <v>360</v>
      </c>
      <c r="AQ91" s="397" t="s">
        <v>38</v>
      </c>
      <c r="AR91" s="409">
        <v>32738.11521869204</v>
      </c>
      <c r="AS91" s="409">
        <v>12242.246368817783</v>
      </c>
      <c r="AT91" s="409">
        <v>20495.868849874256</v>
      </c>
      <c r="AU91" s="410">
        <v>3986.152585696352</v>
      </c>
      <c r="AV91" s="410">
        <v>1490.600839169031</v>
      </c>
      <c r="AW91" s="410">
        <v>2495.551746527321</v>
      </c>
      <c r="AX91" s="411">
        <v>38.89227229578167</v>
      </c>
      <c r="AY91" s="411">
        <v>14.543561109353563</v>
      </c>
      <c r="AZ91" s="411">
        <v>24.34871118642811</v>
      </c>
      <c r="BA91" s="412">
        <v>21368.46105586713</v>
      </c>
      <c r="BB91" s="412">
        <v>7990.623865208114</v>
      </c>
      <c r="BC91" s="412">
        <v>13377.837190659016</v>
      </c>
      <c r="BD91" s="413">
        <v>598.4795648464992</v>
      </c>
      <c r="BE91" s="414">
        <v>223.79829231496058</v>
      </c>
      <c r="BF91" s="414">
        <v>374.6812725315386</v>
      </c>
    </row>
    <row r="92" spans="2:58" ht="15">
      <c r="B92" s="115">
        <v>41214</v>
      </c>
      <c r="C92" s="261">
        <v>419575.75</v>
      </c>
      <c r="D92" s="261">
        <v>106829.24999999999</v>
      </c>
      <c r="E92" s="261">
        <v>247720</v>
      </c>
      <c r="F92" s="261">
        <v>1114786.5</v>
      </c>
      <c r="G92" s="261">
        <v>277690.5</v>
      </c>
      <c r="H92" s="261">
        <v>643920</v>
      </c>
      <c r="I92" s="261">
        <v>141566.4</v>
      </c>
      <c r="J92" s="261">
        <v>24408</v>
      </c>
      <c r="K92" s="262">
        <v>79326</v>
      </c>
      <c r="L92" s="263"/>
      <c r="M92" s="264">
        <v>1675928.65</v>
      </c>
      <c r="N92" s="265">
        <v>408927.75</v>
      </c>
      <c r="O92" s="264">
        <v>970966</v>
      </c>
      <c r="P92" s="264">
        <v>3055822.4</v>
      </c>
      <c r="Q92" s="264">
        <v>0</v>
      </c>
      <c r="R92" s="266">
        <v>0</v>
      </c>
      <c r="S92" s="267">
        <v>136901.25</v>
      </c>
      <c r="T92" s="138">
        <v>272026.5</v>
      </c>
      <c r="U92" s="136">
        <v>0</v>
      </c>
      <c r="V92" s="138">
        <v>0</v>
      </c>
      <c r="AE92" s="394" t="s">
        <v>39</v>
      </c>
      <c r="AF92" s="382">
        <v>361394</v>
      </c>
      <c r="AG92" s="385">
        <v>267770</v>
      </c>
      <c r="AH92" s="392">
        <v>-0.2590635151662728</v>
      </c>
      <c r="AI92" s="382">
        <v>847710</v>
      </c>
      <c r="AJ92" s="385">
        <v>699870</v>
      </c>
      <c r="AK92" s="392">
        <v>-0.17439926389921082</v>
      </c>
      <c r="AL92" s="382">
        <v>112140</v>
      </c>
      <c r="AM92" s="386">
        <v>98460</v>
      </c>
      <c r="AN92" s="392">
        <v>-0.12199036918138041</v>
      </c>
      <c r="AP92" s="421">
        <v>360</v>
      </c>
      <c r="AQ92" s="397" t="s">
        <v>39</v>
      </c>
      <c r="AR92" s="409">
        <v>32738.11521869204</v>
      </c>
      <c r="AS92" s="409">
        <v>12242.246368817783</v>
      </c>
      <c r="AT92" s="409">
        <v>20495.868849874256</v>
      </c>
      <c r="AU92" s="410">
        <v>3986.152585696352</v>
      </c>
      <c r="AV92" s="410">
        <v>1490.600839169031</v>
      </c>
      <c r="AW92" s="410">
        <v>2495.551746527321</v>
      </c>
      <c r="AX92" s="411">
        <v>38.89227229578167</v>
      </c>
      <c r="AY92" s="411">
        <v>14.543561109353563</v>
      </c>
      <c r="AZ92" s="411">
        <v>24.34871118642811</v>
      </c>
      <c r="BA92" s="412">
        <v>21368.46105586713</v>
      </c>
      <c r="BB92" s="412">
        <v>7990.623865208114</v>
      </c>
      <c r="BC92" s="412">
        <v>13377.837190659016</v>
      </c>
      <c r="BD92" s="413">
        <v>598.4795648464992</v>
      </c>
      <c r="BE92" s="414">
        <v>223.79829231496058</v>
      </c>
      <c r="BF92" s="414">
        <v>374.6812725315386</v>
      </c>
    </row>
    <row r="93" spans="2:58" ht="15">
      <c r="B93" s="115">
        <v>41244</v>
      </c>
      <c r="C93" s="261">
        <v>400416.05</v>
      </c>
      <c r="D93" s="261">
        <v>101950.95</v>
      </c>
      <c r="E93" s="261">
        <v>236408</v>
      </c>
      <c r="F93" s="261">
        <v>1050217.8</v>
      </c>
      <c r="G93" s="261">
        <v>261606.59999999998</v>
      </c>
      <c r="H93" s="261">
        <v>606624</v>
      </c>
      <c r="I93" s="261">
        <v>142401.59999999998</v>
      </c>
      <c r="J93" s="261">
        <v>24552</v>
      </c>
      <c r="K93" s="262">
        <v>79794</v>
      </c>
      <c r="L93" s="263"/>
      <c r="M93" s="264">
        <v>1593035.4500000002</v>
      </c>
      <c r="N93" s="265">
        <v>388109.55</v>
      </c>
      <c r="O93" s="264">
        <v>922826</v>
      </c>
      <c r="P93" s="264">
        <v>2903971</v>
      </c>
      <c r="Q93" s="264">
        <v>0</v>
      </c>
      <c r="R93" s="266">
        <v>0</v>
      </c>
      <c r="S93" s="267">
        <v>127844.4</v>
      </c>
      <c r="T93" s="138">
        <v>260265.15</v>
      </c>
      <c r="U93" s="136">
        <v>0</v>
      </c>
      <c r="V93" s="138">
        <v>0</v>
      </c>
      <c r="AE93" s="394" t="s">
        <v>40</v>
      </c>
      <c r="AF93" s="382">
        <v>372424</v>
      </c>
      <c r="AG93" s="385">
        <v>248595</v>
      </c>
      <c r="AH93" s="392">
        <v>-0.33249468347904537</v>
      </c>
      <c r="AI93" s="382">
        <v>900045</v>
      </c>
      <c r="AJ93" s="385">
        <v>631605</v>
      </c>
      <c r="AK93" s="392">
        <v>-0.2982517540789627</v>
      </c>
      <c r="AL93" s="382">
        <v>134820</v>
      </c>
      <c r="AM93" s="386">
        <v>105840</v>
      </c>
      <c r="AN93" s="392">
        <v>-0.21495327102803738</v>
      </c>
      <c r="AP93" s="421">
        <v>360</v>
      </c>
      <c r="AQ93" s="397" t="s">
        <v>40</v>
      </c>
      <c r="AR93" s="409">
        <v>32738.11521869204</v>
      </c>
      <c r="AS93" s="409">
        <v>12242.246368817783</v>
      </c>
      <c r="AT93" s="409">
        <v>20495.868849874256</v>
      </c>
      <c r="AU93" s="410">
        <v>3986.152585696352</v>
      </c>
      <c r="AV93" s="410">
        <v>1490.600839169031</v>
      </c>
      <c r="AW93" s="410">
        <v>2495.551746527321</v>
      </c>
      <c r="AX93" s="411">
        <v>38.89227229578167</v>
      </c>
      <c r="AY93" s="411">
        <v>14.543561109353563</v>
      </c>
      <c r="AZ93" s="411">
        <v>24.34871118642811</v>
      </c>
      <c r="BA93" s="412">
        <v>21368.46105586713</v>
      </c>
      <c r="BB93" s="412">
        <v>7990.623865208114</v>
      </c>
      <c r="BC93" s="412">
        <v>13377.837190659016</v>
      </c>
      <c r="BD93" s="413">
        <v>598.4795648464992</v>
      </c>
      <c r="BE93" s="414">
        <v>223.79829231496058</v>
      </c>
      <c r="BF93" s="414">
        <v>374.6812725315386</v>
      </c>
    </row>
    <row r="94" spans="2:58" ht="15.75" thickBot="1">
      <c r="B94" s="118" t="s">
        <v>27</v>
      </c>
      <c r="C94" s="268">
        <v>6429733.425</v>
      </c>
      <c r="D94" s="269">
        <v>1263635.35</v>
      </c>
      <c r="E94" s="268">
        <v>3332226</v>
      </c>
      <c r="F94" s="268">
        <v>14997125.4</v>
      </c>
      <c r="G94" s="270">
        <v>4016090.2500000005</v>
      </c>
      <c r="H94" s="271">
        <v>8198844</v>
      </c>
      <c r="I94" s="271">
        <v>1692579.6</v>
      </c>
      <c r="J94" s="270">
        <v>280170</v>
      </c>
      <c r="K94" s="272">
        <v>921114</v>
      </c>
      <c r="L94" s="273"/>
      <c r="M94" s="274">
        <v>23119438.424999997</v>
      </c>
      <c r="N94" s="275">
        <v>5559895.6</v>
      </c>
      <c r="O94" s="274">
        <v>12452184</v>
      </c>
      <c r="P94" s="271">
        <v>41131518.025</v>
      </c>
      <c r="Q94" s="271">
        <v>1990217.4249999993</v>
      </c>
      <c r="R94" s="276">
        <v>588097.2499999998</v>
      </c>
      <c r="S94" s="277">
        <v>2079093.7799999998</v>
      </c>
      <c r="T94" s="278">
        <v>3480801.8199999994</v>
      </c>
      <c r="U94" s="132">
        <v>248618.96999999983</v>
      </c>
      <c r="V94" s="133">
        <v>339478.27999999985</v>
      </c>
      <c r="AE94" s="394" t="s">
        <v>41</v>
      </c>
      <c r="AF94" s="382">
        <v>196860</v>
      </c>
      <c r="AG94" s="385">
        <v>156970</v>
      </c>
      <c r="AH94" s="392">
        <v>-0.20263131159199432</v>
      </c>
      <c r="AI94" s="382">
        <v>584400</v>
      </c>
      <c r="AJ94" s="385">
        <v>410100</v>
      </c>
      <c r="AK94" s="392">
        <v>-0.2982546201232033</v>
      </c>
      <c r="AL94" s="382">
        <v>78840</v>
      </c>
      <c r="AM94" s="386">
        <v>56880</v>
      </c>
      <c r="AN94" s="392">
        <v>-0.2785388127853881</v>
      </c>
      <c r="AP94" s="421">
        <v>180</v>
      </c>
      <c r="AQ94" s="397" t="s">
        <v>41</v>
      </c>
      <c r="AR94" s="409">
        <v>16369.05760934602</v>
      </c>
      <c r="AS94" s="409">
        <v>6121.123184408892</v>
      </c>
      <c r="AT94" s="409">
        <v>10247.934424937128</v>
      </c>
      <c r="AU94" s="410">
        <v>1993.076292848176</v>
      </c>
      <c r="AV94" s="410">
        <v>745.3004195845155</v>
      </c>
      <c r="AW94" s="410">
        <v>1247.7758732636605</v>
      </c>
      <c r="AX94" s="411">
        <v>19.446136147890837</v>
      </c>
      <c r="AY94" s="411">
        <v>7.2717805546767815</v>
      </c>
      <c r="AZ94" s="411">
        <v>12.174355593214054</v>
      </c>
      <c r="BA94" s="412">
        <v>10684.230527933565</v>
      </c>
      <c r="BB94" s="412">
        <v>3995.311932604057</v>
      </c>
      <c r="BC94" s="412">
        <v>6688.918595329508</v>
      </c>
      <c r="BD94" s="413">
        <v>598.4795648464992</v>
      </c>
      <c r="BE94" s="414">
        <v>223.79829231496058</v>
      </c>
      <c r="BF94" s="414">
        <v>374.6812725315386</v>
      </c>
    </row>
    <row r="95" spans="2:58" ht="15.75" thickTop="1">
      <c r="B95" s="101"/>
      <c r="C95" s="104"/>
      <c r="D95" s="105"/>
      <c r="E95" s="106"/>
      <c r="F95" s="107"/>
      <c r="G95" s="247"/>
      <c r="H95" s="248"/>
      <c r="I95" s="246"/>
      <c r="J95" s="244"/>
      <c r="K95" s="103"/>
      <c r="L95" s="244"/>
      <c r="M95" s="245"/>
      <c r="N95" s="918" t="s">
        <v>141</v>
      </c>
      <c r="O95" s="919"/>
      <c r="P95" s="433"/>
      <c r="Q95" s="432">
        <v>6147992.85</v>
      </c>
      <c r="AE95" s="394" t="s">
        <v>42</v>
      </c>
      <c r="AF95" s="382">
        <v>172175</v>
      </c>
      <c r="AG95" s="385">
        <v>154825</v>
      </c>
      <c r="AH95" s="392">
        <v>-0.10076956584870045</v>
      </c>
      <c r="AI95" s="382">
        <v>412965</v>
      </c>
      <c r="AJ95" s="385">
        <v>402450</v>
      </c>
      <c r="AK95" s="392">
        <v>-0.02546220624023828</v>
      </c>
      <c r="AL95" s="382">
        <v>62820</v>
      </c>
      <c r="AM95" s="386">
        <v>61020</v>
      </c>
      <c r="AN95" s="392">
        <v>-0.02865329512893983</v>
      </c>
      <c r="AP95" s="421">
        <v>180</v>
      </c>
      <c r="AQ95" s="397" t="s">
        <v>42</v>
      </c>
      <c r="AR95" s="409">
        <v>16369.05760934602</v>
      </c>
      <c r="AS95" s="409">
        <v>6121.123184408892</v>
      </c>
      <c r="AT95" s="409">
        <v>10247.934424937128</v>
      </c>
      <c r="AU95" s="410">
        <v>1993.076292848176</v>
      </c>
      <c r="AV95" s="410">
        <v>745.3004195845155</v>
      </c>
      <c r="AW95" s="410">
        <v>1247.7758732636605</v>
      </c>
      <c r="AX95" s="411">
        <v>19.446136147890837</v>
      </c>
      <c r="AY95" s="411">
        <v>7.2717805546767815</v>
      </c>
      <c r="AZ95" s="411">
        <v>12.174355593214054</v>
      </c>
      <c r="BA95" s="412">
        <v>10684.230527933565</v>
      </c>
      <c r="BB95" s="412">
        <v>3995.311932604057</v>
      </c>
      <c r="BC95" s="412">
        <v>6688.918595329508</v>
      </c>
      <c r="BD95" s="413">
        <v>598.4795648464992</v>
      </c>
      <c r="BE95" s="414">
        <v>223.79829231496058</v>
      </c>
      <c r="BF95" s="414">
        <v>374.6812725315386</v>
      </c>
    </row>
    <row r="96" spans="14:58" ht="15.75">
      <c r="N96" s="434" t="s">
        <v>142</v>
      </c>
      <c r="O96" s="435"/>
      <c r="P96" s="435"/>
      <c r="Q96" s="436" t="e">
        <v>#DIV/0!</v>
      </c>
      <c r="S96" s="182"/>
      <c r="Y96" s="94"/>
      <c r="AE96" s="219" t="s">
        <v>43</v>
      </c>
      <c r="AF96" s="382">
        <v>188650</v>
      </c>
      <c r="AG96" s="385">
        <v>147755</v>
      </c>
      <c r="AH96" s="392">
        <v>-0.21677710045056983</v>
      </c>
      <c r="AI96" s="382">
        <v>452220</v>
      </c>
      <c r="AJ96" s="385">
        <v>379140</v>
      </c>
      <c r="AK96" s="392">
        <v>-0.16160275971872098</v>
      </c>
      <c r="AL96" s="382">
        <v>71280</v>
      </c>
      <c r="AM96" s="386">
        <v>61380</v>
      </c>
      <c r="AN96" s="392">
        <v>-0.1388888888888889</v>
      </c>
      <c r="AP96" s="422">
        <v>180</v>
      </c>
      <c r="AQ96" s="398" t="s">
        <v>43</v>
      </c>
      <c r="AR96" s="415">
        <v>16369.05760934602</v>
      </c>
      <c r="AS96" s="415">
        <v>6121.123184408892</v>
      </c>
      <c r="AT96" s="415">
        <v>10247.934424937128</v>
      </c>
      <c r="AU96" s="416">
        <v>1993.076292848176</v>
      </c>
      <c r="AV96" s="416">
        <v>745.3004195845155</v>
      </c>
      <c r="AW96" s="416">
        <v>1247.7758732636605</v>
      </c>
      <c r="AX96" s="417">
        <v>19.446136147890837</v>
      </c>
      <c r="AY96" s="417">
        <v>7.2717805546767815</v>
      </c>
      <c r="AZ96" s="417">
        <v>12.174355593214054</v>
      </c>
      <c r="BA96" s="418">
        <v>10684.230527933565</v>
      </c>
      <c r="BB96" s="418">
        <v>3995.311932604057</v>
      </c>
      <c r="BC96" s="418">
        <v>6688.918595329508</v>
      </c>
      <c r="BD96" s="419">
        <v>598.4795648464992</v>
      </c>
      <c r="BE96" s="420">
        <v>223.79829231496058</v>
      </c>
      <c r="BF96" s="420">
        <v>374.6812725315386</v>
      </c>
    </row>
    <row r="97" spans="4:48" ht="15">
      <c r="D97" s="94"/>
      <c r="AE97" s="395" t="s">
        <v>170</v>
      </c>
      <c r="AF97" s="383">
        <v>3173798</v>
      </c>
      <c r="AG97" s="388">
        <v>2451550</v>
      </c>
      <c r="AH97" s="393">
        <v>-0.22756583752337106</v>
      </c>
      <c r="AI97" s="383">
        <v>7495440</v>
      </c>
      <c r="AJ97" s="388">
        <v>5991315</v>
      </c>
      <c r="AK97" s="393">
        <v>-0.2006720085812174</v>
      </c>
      <c r="AL97" s="383">
        <v>951720</v>
      </c>
      <c r="AM97" s="390">
        <v>806040</v>
      </c>
      <c r="AN97" s="393">
        <v>-0.15307023074013365</v>
      </c>
      <c r="AR97" s="396"/>
      <c r="AS97" s="396"/>
      <c r="AT97" s="396"/>
      <c r="AU97" s="396"/>
      <c r="AV97" s="396"/>
    </row>
    <row r="99" spans="1:50" ht="15.75" thickBot="1">
      <c r="A99" s="127"/>
      <c r="B99" s="126" t="s">
        <v>8</v>
      </c>
      <c r="C99" s="126"/>
      <c r="D99" s="126"/>
      <c r="E99" s="126"/>
      <c r="F99" s="126"/>
      <c r="G99" s="126"/>
      <c r="H99" s="126"/>
      <c r="I99" s="128"/>
      <c r="J99" s="127"/>
      <c r="K99" s="126"/>
      <c r="L99" s="126"/>
      <c r="M99" s="126"/>
      <c r="N99" s="126"/>
      <c r="O99" s="126"/>
      <c r="P99" s="126"/>
      <c r="Q99" s="126"/>
      <c r="AE99" t="s">
        <v>8</v>
      </c>
      <c r="AX99" t="s">
        <v>8</v>
      </c>
    </row>
    <row r="100" spans="1:57" ht="27" thickBot="1">
      <c r="A100" s="833" t="s">
        <v>237</v>
      </c>
      <c r="B100" s="834"/>
      <c r="C100" s="834"/>
      <c r="D100" s="834"/>
      <c r="E100" s="834"/>
      <c r="F100" s="834"/>
      <c r="G100" s="834"/>
      <c r="H100" s="834"/>
      <c r="I100" s="834"/>
      <c r="J100" s="834"/>
      <c r="K100" s="834"/>
      <c r="L100" s="834"/>
      <c r="M100" s="834"/>
      <c r="N100" s="834"/>
      <c r="O100" s="834"/>
      <c r="P100" s="834"/>
      <c r="Q100" s="834"/>
      <c r="R100" s="834"/>
      <c r="S100" s="834"/>
      <c r="T100" s="834"/>
      <c r="U100" s="834"/>
      <c r="V100" s="834"/>
      <c r="W100" s="834"/>
      <c r="X100" s="834"/>
      <c r="Y100" s="834"/>
      <c r="Z100" s="834"/>
      <c r="AA100" s="834"/>
      <c r="AB100" s="834"/>
      <c r="AC100" s="834"/>
      <c r="AD100" s="834"/>
      <c r="AE100" s="834"/>
      <c r="AF100" s="835"/>
      <c r="AG100" s="833" t="s">
        <v>253</v>
      </c>
      <c r="AH100" s="834"/>
      <c r="AI100" s="834"/>
      <c r="AJ100" s="834"/>
      <c r="AK100" s="834"/>
      <c r="AL100" s="834"/>
      <c r="AM100" s="834"/>
      <c r="AN100" s="834"/>
      <c r="AO100" s="834"/>
      <c r="AP100" s="834"/>
      <c r="AQ100" s="834"/>
      <c r="AR100" s="834"/>
      <c r="AS100" s="834"/>
      <c r="AT100" s="834"/>
      <c r="AU100" s="834"/>
      <c r="AV100" s="834"/>
      <c r="AW100" s="834"/>
      <c r="AX100" s="834"/>
      <c r="AY100" s="834"/>
      <c r="AZ100" s="834"/>
      <c r="BA100" s="834"/>
      <c r="BB100" s="834"/>
      <c r="BC100" s="834"/>
      <c r="BD100" s="834"/>
      <c r="BE100" s="835"/>
    </row>
    <row r="101" spans="1:57" ht="15">
      <c r="A101" s="437">
        <v>2012</v>
      </c>
      <c r="B101" s="861" t="s">
        <v>102</v>
      </c>
      <c r="C101" s="862"/>
      <c r="D101" s="862"/>
      <c r="E101" s="862"/>
      <c r="F101" s="862"/>
      <c r="G101" s="862"/>
      <c r="H101" s="862"/>
      <c r="I101" s="438"/>
      <c r="J101" s="861" t="s">
        <v>189</v>
      </c>
      <c r="K101" s="862"/>
      <c r="L101" s="862"/>
      <c r="M101" s="862"/>
      <c r="N101" s="862"/>
      <c r="O101" s="862"/>
      <c r="P101" s="862"/>
      <c r="Q101" s="438"/>
      <c r="R101" s="861" t="s">
        <v>46</v>
      </c>
      <c r="S101" s="862"/>
      <c r="T101" s="862"/>
      <c r="U101" s="862"/>
      <c r="V101" s="862"/>
      <c r="W101" s="862"/>
      <c r="X101" s="862"/>
      <c r="Y101" s="438"/>
      <c r="Z101" s="862" t="s">
        <v>27</v>
      </c>
      <c r="AA101" s="862"/>
      <c r="AB101" s="957" t="s">
        <v>126</v>
      </c>
      <c r="AC101" s="958"/>
      <c r="AD101" s="959" t="s">
        <v>128</v>
      </c>
      <c r="AE101" s="958"/>
      <c r="AF101" s="960" t="s">
        <v>137</v>
      </c>
      <c r="AG101" s="836" t="s">
        <v>203</v>
      </c>
      <c r="AH101" s="837"/>
      <c r="AI101" s="837"/>
      <c r="AJ101" s="837"/>
      <c r="AK101" s="837"/>
      <c r="AL101" s="838"/>
      <c r="AM101" s="841" t="s">
        <v>201</v>
      </c>
      <c r="AN101" s="842"/>
      <c r="AO101" s="842"/>
      <c r="AP101" s="842"/>
      <c r="AQ101" s="842"/>
      <c r="AR101" s="842"/>
      <c r="AS101" s="842"/>
      <c r="AT101" s="842"/>
      <c r="AU101" s="842"/>
      <c r="AV101" s="842"/>
      <c r="AW101" s="842"/>
      <c r="AX101" s="843"/>
      <c r="AY101" s="844" t="s">
        <v>254</v>
      </c>
      <c r="AZ101" s="845"/>
      <c r="BA101" s="845"/>
      <c r="BB101" s="845"/>
      <c r="BC101" s="845"/>
      <c r="BD101" s="846"/>
      <c r="BE101" s="802" t="s">
        <v>241</v>
      </c>
    </row>
    <row r="102" spans="1:57" ht="15">
      <c r="A102" s="120" t="s">
        <v>5</v>
      </c>
      <c r="B102" s="121" t="s">
        <v>117</v>
      </c>
      <c r="C102" s="121" t="s">
        <v>7</v>
      </c>
      <c r="D102" s="121" t="s">
        <v>118</v>
      </c>
      <c r="E102" s="121" t="s">
        <v>119</v>
      </c>
      <c r="F102" s="121" t="s">
        <v>120</v>
      </c>
      <c r="G102" s="121" t="s">
        <v>121</v>
      </c>
      <c r="H102" s="121" t="s">
        <v>122</v>
      </c>
      <c r="I102" s="318" t="s">
        <v>0</v>
      </c>
      <c r="J102" s="121" t="s">
        <v>117</v>
      </c>
      <c r="K102" s="121" t="s">
        <v>7</v>
      </c>
      <c r="L102" s="125" t="s">
        <v>118</v>
      </c>
      <c r="M102" s="125" t="s">
        <v>119</v>
      </c>
      <c r="N102" s="125" t="s">
        <v>120</v>
      </c>
      <c r="O102" s="125" t="s">
        <v>121</v>
      </c>
      <c r="P102" s="125" t="s">
        <v>122</v>
      </c>
      <c r="Q102" s="324" t="s">
        <v>0</v>
      </c>
      <c r="R102" s="121" t="s">
        <v>117</v>
      </c>
      <c r="S102" s="121" t="s">
        <v>7</v>
      </c>
      <c r="T102" s="121" t="s">
        <v>123</v>
      </c>
      <c r="U102" s="121" t="s">
        <v>119</v>
      </c>
      <c r="V102" s="121" t="s">
        <v>120</v>
      </c>
      <c r="W102" s="121" t="s">
        <v>124</v>
      </c>
      <c r="X102" s="121" t="s">
        <v>125</v>
      </c>
      <c r="Y102" s="318" t="s">
        <v>0</v>
      </c>
      <c r="Z102" s="121" t="s">
        <v>117</v>
      </c>
      <c r="AA102" s="121" t="s">
        <v>7</v>
      </c>
      <c r="AB102" s="121" t="s">
        <v>7</v>
      </c>
      <c r="AC102" s="121" t="s">
        <v>127</v>
      </c>
      <c r="AD102" s="121" t="s">
        <v>7</v>
      </c>
      <c r="AE102" s="121" t="s">
        <v>127</v>
      </c>
      <c r="AF102" s="961"/>
      <c r="AG102" s="597" t="s">
        <v>255</v>
      </c>
      <c r="AH102" s="592" t="s">
        <v>256</v>
      </c>
      <c r="AI102" s="597" t="s">
        <v>143</v>
      </c>
      <c r="AJ102" s="546" t="s">
        <v>239</v>
      </c>
      <c r="AK102" s="546" t="s">
        <v>245</v>
      </c>
      <c r="AL102" s="546" t="s">
        <v>242</v>
      </c>
      <c r="AM102" s="568" t="s">
        <v>249</v>
      </c>
      <c r="AN102" s="548" t="s">
        <v>248</v>
      </c>
      <c r="AO102" s="571" t="s">
        <v>250</v>
      </c>
      <c r="AP102" s="548" t="s">
        <v>246</v>
      </c>
      <c r="AQ102" s="548" t="s">
        <v>245</v>
      </c>
      <c r="AR102" s="549" t="s">
        <v>259</v>
      </c>
      <c r="AS102" s="563" t="s">
        <v>260</v>
      </c>
      <c r="AT102" s="563" t="s">
        <v>262</v>
      </c>
      <c r="AU102" s="563" t="s">
        <v>247</v>
      </c>
      <c r="AV102" s="549" t="s">
        <v>239</v>
      </c>
      <c r="AW102" s="549" t="s">
        <v>245</v>
      </c>
      <c r="AX102" s="549" t="s">
        <v>257</v>
      </c>
      <c r="AY102" s="604" t="s">
        <v>255</v>
      </c>
      <c r="AZ102" s="550" t="s">
        <v>256</v>
      </c>
      <c r="BA102" s="604" t="s">
        <v>143</v>
      </c>
      <c r="BB102" s="550" t="s">
        <v>239</v>
      </c>
      <c r="BC102" s="550" t="s">
        <v>245</v>
      </c>
      <c r="BD102" s="550" t="s">
        <v>242</v>
      </c>
      <c r="BE102" s="803"/>
    </row>
    <row r="103" spans="1:58" ht="15">
      <c r="A103" s="180" t="s">
        <v>32</v>
      </c>
      <c r="B103" s="155">
        <v>55730</v>
      </c>
      <c r="C103" s="146">
        <v>232115.45</v>
      </c>
      <c r="D103" s="147">
        <v>142947.44999999998</v>
      </c>
      <c r="E103" s="148">
        <v>22292</v>
      </c>
      <c r="F103" s="146">
        <v>66876</v>
      </c>
      <c r="G103" s="148">
        <v>16161.699999999997</v>
      </c>
      <c r="H103" s="164">
        <v>8080.850000000006</v>
      </c>
      <c r="I103" s="319">
        <v>33.5854400819598</v>
      </c>
      <c r="J103" s="178">
        <v>94905</v>
      </c>
      <c r="K103" s="160">
        <v>395279.325</v>
      </c>
      <c r="L103" s="161">
        <v>219135.64500000002</v>
      </c>
      <c r="M103" s="162">
        <v>62257.68</v>
      </c>
      <c r="N103" s="163">
        <v>113886</v>
      </c>
      <c r="O103" s="162">
        <v>3226.769999999997</v>
      </c>
      <c r="P103" s="161">
        <v>43751.20499999996</v>
      </c>
      <c r="Q103" s="320">
        <v>57.1940820200681</v>
      </c>
      <c r="R103" s="165">
        <v>15300</v>
      </c>
      <c r="S103" s="150">
        <v>48959.99999999999</v>
      </c>
      <c r="T103" s="166">
        <v>29070</v>
      </c>
      <c r="U103" s="167">
        <v>4590</v>
      </c>
      <c r="V103" s="150">
        <v>15300</v>
      </c>
      <c r="W103" s="167">
        <v>1530</v>
      </c>
      <c r="X103" s="166">
        <v>6426</v>
      </c>
      <c r="Y103" s="321">
        <v>9.220477897972097</v>
      </c>
      <c r="Z103" s="149">
        <v>165935</v>
      </c>
      <c r="AA103" s="150">
        <v>676354.775</v>
      </c>
      <c r="AB103" s="166">
        <v>391153.095</v>
      </c>
      <c r="AC103" s="166">
        <v>58258.054999999964</v>
      </c>
      <c r="AD103" s="158">
        <v>89139.68</v>
      </c>
      <c r="AE103" s="174">
        <v>20918.469999999994</v>
      </c>
      <c r="AF103" s="595">
        <v>4.553176243709886</v>
      </c>
      <c r="AG103" s="529">
        <v>89139.68</v>
      </c>
      <c r="AH103" s="617">
        <v>89139.68</v>
      </c>
      <c r="AI103" s="593">
        <v>0</v>
      </c>
      <c r="AJ103" s="610" t="s">
        <v>76</v>
      </c>
      <c r="AK103" s="547">
        <v>41169</v>
      </c>
      <c r="AL103" s="668">
        <v>89139.68</v>
      </c>
      <c r="AM103" s="566">
        <v>391153.095</v>
      </c>
      <c r="AN103" s="673">
        <v>391153.095</v>
      </c>
      <c r="AO103" s="674">
        <v>0</v>
      </c>
      <c r="AP103" s="553" t="s">
        <v>64</v>
      </c>
      <c r="AQ103" s="554" t="s">
        <v>55</v>
      </c>
      <c r="AR103" s="645">
        <v>391153.095</v>
      </c>
      <c r="AS103" s="590">
        <v>449411.1499999999</v>
      </c>
      <c r="AT103" s="590">
        <v>58258.054999999935</v>
      </c>
      <c r="AU103" s="560">
        <v>-58258.054999999935</v>
      </c>
      <c r="AV103" s="536"/>
      <c r="AW103" s="613"/>
      <c r="AX103" s="601">
        <v>58313.79</v>
      </c>
      <c r="AY103" s="135">
        <v>20918.469999999994</v>
      </c>
      <c r="AZ103" s="136">
        <v>20918.469999999994</v>
      </c>
      <c r="BA103" s="135">
        <v>0</v>
      </c>
      <c r="BB103" s="602"/>
      <c r="BC103" s="542"/>
      <c r="BD103" s="683">
        <v>20918.47</v>
      </c>
      <c r="BE103" s="586">
        <v>-58313.79000000001</v>
      </c>
      <c r="BF103" s="94"/>
    </row>
    <row r="104" spans="1:58" ht="15">
      <c r="A104" s="180" t="s">
        <v>33</v>
      </c>
      <c r="B104" s="155">
        <v>59710</v>
      </c>
      <c r="C104" s="146">
        <v>248692.15</v>
      </c>
      <c r="D104" s="152">
        <v>153156.15</v>
      </c>
      <c r="E104" s="153">
        <v>23884</v>
      </c>
      <c r="F104" s="154">
        <v>71652</v>
      </c>
      <c r="G104" s="153">
        <v>17315.899999999994</v>
      </c>
      <c r="H104" s="169">
        <v>8657.950000000012</v>
      </c>
      <c r="I104" s="319">
        <v>34.48355519621148</v>
      </c>
      <c r="J104" s="168">
        <v>98865</v>
      </c>
      <c r="K104" s="160">
        <v>411772.725</v>
      </c>
      <c r="L104" s="152">
        <v>228279.285</v>
      </c>
      <c r="M104" s="153">
        <v>64855.44</v>
      </c>
      <c r="N104" s="154">
        <v>118638</v>
      </c>
      <c r="O104" s="153">
        <v>3361.409999999989</v>
      </c>
      <c r="P104" s="152">
        <v>45576.764999999985</v>
      </c>
      <c r="Q104" s="321">
        <v>57.0962432502671</v>
      </c>
      <c r="R104" s="170">
        <v>14580</v>
      </c>
      <c r="S104" s="150">
        <v>46655.99999999999</v>
      </c>
      <c r="T104" s="169">
        <v>27702</v>
      </c>
      <c r="U104" s="171">
        <v>4374</v>
      </c>
      <c r="V104" s="151">
        <v>14580</v>
      </c>
      <c r="W104" s="171">
        <v>1458</v>
      </c>
      <c r="X104" s="169">
        <v>6123.5999999999985</v>
      </c>
      <c r="Y104" s="321">
        <v>8.420201553521412</v>
      </c>
      <c r="Z104" s="469">
        <v>173155</v>
      </c>
      <c r="AA104" s="151">
        <v>707120.875</v>
      </c>
      <c r="AB104" s="169">
        <v>409137.435</v>
      </c>
      <c r="AC104" s="169">
        <v>60358.314999999995</v>
      </c>
      <c r="AD104" s="158">
        <v>93113.44</v>
      </c>
      <c r="AE104" s="174">
        <v>22135.309999999983</v>
      </c>
      <c r="AF104" s="596">
        <v>4.5601599722791715</v>
      </c>
      <c r="AG104" s="531">
        <v>93113.44</v>
      </c>
      <c r="AH104" s="552">
        <v>93113.44</v>
      </c>
      <c r="AI104" s="594">
        <v>0</v>
      </c>
      <c r="AJ104" s="611" t="s">
        <v>77</v>
      </c>
      <c r="AK104" s="530">
        <v>41169</v>
      </c>
      <c r="AL104" s="669">
        <v>93113.44</v>
      </c>
      <c r="AM104" s="567">
        <v>409137.435</v>
      </c>
      <c r="AN104" s="675">
        <v>409137.425</v>
      </c>
      <c r="AO104" s="676">
        <v>-0.010000000009313226</v>
      </c>
      <c r="AP104" s="555" t="s">
        <v>65</v>
      </c>
      <c r="AQ104" s="556" t="s">
        <v>57</v>
      </c>
      <c r="AR104" s="591">
        <v>409137.425</v>
      </c>
      <c r="AS104" s="591">
        <v>469495.75</v>
      </c>
      <c r="AT104" s="591">
        <v>60358.32500000001</v>
      </c>
      <c r="AU104" s="565">
        <v>-60358.32500000001</v>
      </c>
      <c r="AV104" s="537"/>
      <c r="AW104" s="564"/>
      <c r="AX104" s="561">
        <v>60418.03</v>
      </c>
      <c r="AY104" s="136">
        <v>22135.309999999983</v>
      </c>
      <c r="AZ104" s="136">
        <v>22135.309999999983</v>
      </c>
      <c r="BA104" s="136">
        <v>0</v>
      </c>
      <c r="BB104" s="603"/>
      <c r="BC104" s="543"/>
      <c r="BD104" s="684">
        <v>22135.31</v>
      </c>
      <c r="BE104" s="587">
        <v>-60418.03000000001</v>
      </c>
      <c r="BF104" s="94"/>
    </row>
    <row r="105" spans="1:58" ht="15">
      <c r="A105" s="180" t="s">
        <v>34</v>
      </c>
      <c r="B105" s="155">
        <v>62695</v>
      </c>
      <c r="C105" s="146">
        <v>261124.675</v>
      </c>
      <c r="D105" s="152">
        <v>160812.675</v>
      </c>
      <c r="E105" s="153">
        <v>25078</v>
      </c>
      <c r="F105" s="154">
        <v>75234</v>
      </c>
      <c r="G105" s="153">
        <v>18181.549999999996</v>
      </c>
      <c r="H105" s="169">
        <v>9090.775000000023</v>
      </c>
      <c r="I105" s="319">
        <v>33.0757056185703</v>
      </c>
      <c r="J105" s="168">
        <v>107595</v>
      </c>
      <c r="K105" s="160">
        <v>448133.175</v>
      </c>
      <c r="L105" s="152">
        <v>248436.855</v>
      </c>
      <c r="M105" s="153">
        <v>70582.32</v>
      </c>
      <c r="N105" s="154">
        <v>129114</v>
      </c>
      <c r="O105" s="153">
        <v>3658.2299999999814</v>
      </c>
      <c r="P105" s="152">
        <v>49601.29500000001</v>
      </c>
      <c r="Q105" s="321">
        <v>56.76338696913743</v>
      </c>
      <c r="R105" s="170">
        <v>19260</v>
      </c>
      <c r="S105" s="150">
        <v>61631.99999999999</v>
      </c>
      <c r="T105" s="169">
        <v>36594</v>
      </c>
      <c r="U105" s="171">
        <v>5778</v>
      </c>
      <c r="V105" s="151">
        <v>19260</v>
      </c>
      <c r="W105" s="171">
        <v>1926</v>
      </c>
      <c r="X105" s="169">
        <v>8089.199999999997</v>
      </c>
      <c r="Y105" s="321">
        <v>10.160907412292271</v>
      </c>
      <c r="Z105" s="469">
        <v>189550</v>
      </c>
      <c r="AA105" s="151">
        <v>770889.85</v>
      </c>
      <c r="AB105" s="169">
        <v>445843.53</v>
      </c>
      <c r="AC105" s="169">
        <v>66781.27000000003</v>
      </c>
      <c r="AD105" s="158">
        <v>101438.32</v>
      </c>
      <c r="AE105" s="174">
        <v>23765.779999999977</v>
      </c>
      <c r="AF105" s="596">
        <v>4.54464204695331</v>
      </c>
      <c r="AG105" s="531">
        <v>101438.32</v>
      </c>
      <c r="AH105" s="552">
        <v>101438.32</v>
      </c>
      <c r="AI105" s="594">
        <v>0</v>
      </c>
      <c r="AJ105" s="611" t="s">
        <v>72</v>
      </c>
      <c r="AK105" s="530">
        <v>41257</v>
      </c>
      <c r="AL105" s="669">
        <v>101438.32</v>
      </c>
      <c r="AM105" s="567">
        <v>445843.53</v>
      </c>
      <c r="AN105" s="675">
        <v>447349.89</v>
      </c>
      <c r="AO105" s="676">
        <v>1506.359999999986</v>
      </c>
      <c r="AP105" s="555" t="s">
        <v>66</v>
      </c>
      <c r="AQ105" s="557">
        <v>41067</v>
      </c>
      <c r="AR105" s="646">
        <v>445831.91</v>
      </c>
      <c r="AS105" s="591">
        <v>512624.80000000005</v>
      </c>
      <c r="AT105" s="591">
        <v>66792.89000000007</v>
      </c>
      <c r="AU105" s="565">
        <v>-65274.91000000003</v>
      </c>
      <c r="AV105" s="537"/>
      <c r="AW105" s="564"/>
      <c r="AX105" s="561">
        <v>66843.97</v>
      </c>
      <c r="AY105" s="136">
        <v>23765.779999999977</v>
      </c>
      <c r="AZ105" s="136">
        <v>23765.779999999977</v>
      </c>
      <c r="BA105" s="136">
        <v>0</v>
      </c>
      <c r="BB105" s="603"/>
      <c r="BC105" s="543"/>
      <c r="BD105" s="684">
        <v>23765.78</v>
      </c>
      <c r="BE105" s="587">
        <v>-65325.98999999998</v>
      </c>
      <c r="BF105" s="94"/>
    </row>
    <row r="106" spans="1:58" ht="15">
      <c r="A106" s="180" t="s">
        <v>35</v>
      </c>
      <c r="B106" s="155">
        <v>66830</v>
      </c>
      <c r="C106" s="146">
        <v>278346.95</v>
      </c>
      <c r="D106" s="152">
        <v>171418.94999999998</v>
      </c>
      <c r="E106" s="153">
        <v>26732</v>
      </c>
      <c r="F106" s="154">
        <v>80196</v>
      </c>
      <c r="G106" s="153">
        <v>19380.699999999997</v>
      </c>
      <c r="H106" s="169">
        <v>9690.350000000006</v>
      </c>
      <c r="I106" s="319">
        <v>33.119409272245214</v>
      </c>
      <c r="J106" s="168">
        <v>116775</v>
      </c>
      <c r="K106" s="160">
        <v>486367.875</v>
      </c>
      <c r="L106" s="152">
        <v>269633.47500000003</v>
      </c>
      <c r="M106" s="153">
        <v>76604.40000000001</v>
      </c>
      <c r="N106" s="154">
        <v>140130</v>
      </c>
      <c r="O106" s="153">
        <v>3970.3499999999913</v>
      </c>
      <c r="P106" s="152">
        <v>53833.274999999965</v>
      </c>
      <c r="Q106" s="321">
        <v>57.87100131327899</v>
      </c>
      <c r="R106" s="170">
        <v>18180</v>
      </c>
      <c r="S106" s="150">
        <v>58175.99999999999</v>
      </c>
      <c r="T106" s="169">
        <v>34542</v>
      </c>
      <c r="U106" s="171">
        <v>5454</v>
      </c>
      <c r="V106" s="151">
        <v>18180</v>
      </c>
      <c r="W106" s="171">
        <v>1818</v>
      </c>
      <c r="X106" s="169">
        <v>7635.5999999999985</v>
      </c>
      <c r="Y106" s="321">
        <v>9.009589414475803</v>
      </c>
      <c r="Z106" s="469">
        <v>201785</v>
      </c>
      <c r="AA106" s="151">
        <v>822890.825</v>
      </c>
      <c r="AB106" s="169">
        <v>475594.42500000005</v>
      </c>
      <c r="AC106" s="169">
        <v>71159.22499999998</v>
      </c>
      <c r="AD106" s="158">
        <v>108790.40000000001</v>
      </c>
      <c r="AE106" s="174">
        <v>25169.04999999999</v>
      </c>
      <c r="AF106" s="596">
        <v>4.5554382139405805</v>
      </c>
      <c r="AG106" s="531">
        <v>108790.40000000001</v>
      </c>
      <c r="AH106" s="552">
        <v>108790.4</v>
      </c>
      <c r="AI106" s="594">
        <v>0</v>
      </c>
      <c r="AJ106" s="611" t="s">
        <v>73</v>
      </c>
      <c r="AK106" s="530">
        <v>41187</v>
      </c>
      <c r="AL106" s="669">
        <v>108790.4</v>
      </c>
      <c r="AM106" s="567">
        <v>475594.42500000005</v>
      </c>
      <c r="AN106" s="675">
        <v>477016.55</v>
      </c>
      <c r="AO106" s="676">
        <v>1422.1249999999418</v>
      </c>
      <c r="AP106" s="555" t="s">
        <v>67</v>
      </c>
      <c r="AQ106" s="557">
        <v>41067</v>
      </c>
      <c r="AR106" s="646">
        <v>475581.74500000005</v>
      </c>
      <c r="AS106" s="591">
        <v>546753.65</v>
      </c>
      <c r="AT106" s="591">
        <v>71171.90499999997</v>
      </c>
      <c r="AU106" s="565">
        <v>-69737.10000000003</v>
      </c>
      <c r="AV106" s="537"/>
      <c r="AW106" s="564"/>
      <c r="AX106" s="561">
        <v>71226.06</v>
      </c>
      <c r="AY106" s="136">
        <v>25169.04999999999</v>
      </c>
      <c r="AZ106" s="136">
        <v>25169.04999999999</v>
      </c>
      <c r="BA106" s="136">
        <v>0</v>
      </c>
      <c r="BB106" s="603"/>
      <c r="BC106" s="543"/>
      <c r="BD106" s="684">
        <v>25169.05</v>
      </c>
      <c r="BE106" s="587">
        <v>-69791.25500000006</v>
      </c>
      <c r="BF106" s="94"/>
    </row>
    <row r="107" spans="1:58" ht="15">
      <c r="A107" s="180" t="s">
        <v>36</v>
      </c>
      <c r="B107" s="155">
        <v>126360</v>
      </c>
      <c r="C107" s="146">
        <v>526289.4</v>
      </c>
      <c r="D107" s="152">
        <v>324113.39999999997</v>
      </c>
      <c r="E107" s="153">
        <v>50544</v>
      </c>
      <c r="F107" s="154">
        <v>151632</v>
      </c>
      <c r="G107" s="153">
        <v>36644.399999999994</v>
      </c>
      <c r="H107" s="169">
        <v>18322.20000000001</v>
      </c>
      <c r="I107" s="319">
        <v>31.2625250501002</v>
      </c>
      <c r="J107" s="179">
        <v>238590</v>
      </c>
      <c r="K107" s="160">
        <v>993727.35</v>
      </c>
      <c r="L107" s="152">
        <v>550904.31</v>
      </c>
      <c r="M107" s="153">
        <v>156515.04</v>
      </c>
      <c r="N107" s="154">
        <v>286308</v>
      </c>
      <c r="O107" s="153">
        <v>8112.059999999969</v>
      </c>
      <c r="P107" s="152">
        <v>109989.98999999999</v>
      </c>
      <c r="Q107" s="321">
        <v>59.02916945001113</v>
      </c>
      <c r="R107" s="179">
        <v>39240</v>
      </c>
      <c r="S107" s="150">
        <v>125567.99999999999</v>
      </c>
      <c r="T107" s="169">
        <v>74556</v>
      </c>
      <c r="U107" s="171">
        <v>11772</v>
      </c>
      <c r="V107" s="151">
        <v>39240</v>
      </c>
      <c r="W107" s="171">
        <v>3924</v>
      </c>
      <c r="X107" s="169">
        <v>16480.79999999999</v>
      </c>
      <c r="Y107" s="321">
        <v>9.708305499888667</v>
      </c>
      <c r="Z107" s="469">
        <v>404190</v>
      </c>
      <c r="AA107" s="151">
        <v>1645584.75</v>
      </c>
      <c r="AB107" s="169">
        <v>949573.71</v>
      </c>
      <c r="AC107" s="169">
        <v>144792.99</v>
      </c>
      <c r="AD107" s="158">
        <v>218831.04</v>
      </c>
      <c r="AE107" s="174">
        <v>48680.45999999996</v>
      </c>
      <c r="AF107" s="596">
        <v>4.549984413270987</v>
      </c>
      <c r="AG107" s="531">
        <v>218831.04</v>
      </c>
      <c r="AH107" s="552">
        <v>218831.04</v>
      </c>
      <c r="AI107" s="594">
        <v>0</v>
      </c>
      <c r="AJ107" s="611" t="s">
        <v>74</v>
      </c>
      <c r="AK107" s="532"/>
      <c r="AL107" s="669">
        <v>218831.04</v>
      </c>
      <c r="AM107" s="567">
        <v>949573.71</v>
      </c>
      <c r="AN107" s="675">
        <v>949573.71</v>
      </c>
      <c r="AO107" s="676">
        <v>0</v>
      </c>
      <c r="AP107" s="555" t="s">
        <v>68</v>
      </c>
      <c r="AQ107" s="557">
        <v>41134</v>
      </c>
      <c r="AR107" s="646">
        <v>709691.2906828617</v>
      </c>
      <c r="AS107" s="591">
        <v>793231.2071316055</v>
      </c>
      <c r="AT107" s="591">
        <v>83539.91644874378</v>
      </c>
      <c r="AU107" s="565">
        <v>156342.50286839448</v>
      </c>
      <c r="AV107" s="537"/>
      <c r="AW107" s="564"/>
      <c r="AX107" s="561">
        <v>83439.29</v>
      </c>
      <c r="AY107" s="136">
        <v>48680.45999999996</v>
      </c>
      <c r="AZ107" s="136">
        <v>48680.45999999996</v>
      </c>
      <c r="BA107" s="136">
        <v>0</v>
      </c>
      <c r="BB107" s="603"/>
      <c r="BC107" s="543"/>
      <c r="BD107" s="684">
        <v>48680.46</v>
      </c>
      <c r="BE107" s="587">
        <v>156443.12931713826</v>
      </c>
      <c r="BF107" s="94"/>
    </row>
    <row r="108" spans="1:58" ht="15">
      <c r="A108" s="180" t="s">
        <v>37</v>
      </c>
      <c r="B108" s="155">
        <v>139020</v>
      </c>
      <c r="C108" s="146">
        <v>579018.3</v>
      </c>
      <c r="D108" s="157">
        <v>356586.3</v>
      </c>
      <c r="E108" s="158">
        <v>55608</v>
      </c>
      <c r="F108" s="156">
        <v>166824</v>
      </c>
      <c r="G108" s="158">
        <v>40315.79999999999</v>
      </c>
      <c r="H108" s="157">
        <v>20157.900000000023</v>
      </c>
      <c r="I108" s="319">
        <v>32.266824496048464</v>
      </c>
      <c r="J108" s="155">
        <v>249705</v>
      </c>
      <c r="K108" s="160">
        <v>1040021.325</v>
      </c>
      <c r="L108" s="173">
        <v>576568.8450000001</v>
      </c>
      <c r="M108" s="174">
        <v>163806.48</v>
      </c>
      <c r="N108" s="175">
        <v>299646</v>
      </c>
      <c r="O108" s="174">
        <v>8489.969999999972</v>
      </c>
      <c r="P108" s="173">
        <v>115114.00499999989</v>
      </c>
      <c r="Q108" s="321">
        <v>57.957037913866934</v>
      </c>
      <c r="R108" s="176">
        <v>42120</v>
      </c>
      <c r="S108" s="150">
        <v>134784</v>
      </c>
      <c r="T108" s="157">
        <v>80028</v>
      </c>
      <c r="U108" s="158">
        <v>12636</v>
      </c>
      <c r="V108" s="156">
        <v>42120</v>
      </c>
      <c r="W108" s="158">
        <v>4212</v>
      </c>
      <c r="X108" s="157">
        <v>17690.399999999994</v>
      </c>
      <c r="Y108" s="321">
        <v>9.776137590084602</v>
      </c>
      <c r="Z108" s="155">
        <v>430845</v>
      </c>
      <c r="AA108" s="156">
        <v>1753823.625</v>
      </c>
      <c r="AB108" s="157">
        <v>1013183.145</v>
      </c>
      <c r="AC108" s="157">
        <v>152962.3049999999</v>
      </c>
      <c r="AD108" s="158">
        <v>232050.48</v>
      </c>
      <c r="AE108" s="174">
        <v>53017.76999999996</v>
      </c>
      <c r="AF108" s="596">
        <v>4.548744211955576</v>
      </c>
      <c r="AG108" s="531">
        <v>232050.48</v>
      </c>
      <c r="AH108" s="552">
        <v>232050.48</v>
      </c>
      <c r="AI108" s="594">
        <v>0</v>
      </c>
      <c r="AJ108" s="611" t="s">
        <v>75</v>
      </c>
      <c r="AK108" s="530">
        <v>41204</v>
      </c>
      <c r="AL108" s="669">
        <v>232050.48</v>
      </c>
      <c r="AM108" s="567">
        <v>1013183.145</v>
      </c>
      <c r="AN108" s="677">
        <v>1013183.2</v>
      </c>
      <c r="AO108" s="676">
        <v>0.05499999993480742</v>
      </c>
      <c r="AP108" s="555" t="s">
        <v>69</v>
      </c>
      <c r="AQ108" s="557">
        <v>41134</v>
      </c>
      <c r="AR108" s="646">
        <v>805930.7690233368</v>
      </c>
      <c r="AS108" s="591">
        <v>900578.0191442817</v>
      </c>
      <c r="AT108" s="591">
        <v>94647.25012094493</v>
      </c>
      <c r="AU108" s="565">
        <v>112605.18085571821</v>
      </c>
      <c r="AV108" s="537"/>
      <c r="AW108" s="564"/>
      <c r="AX108" s="561">
        <v>94653.58</v>
      </c>
      <c r="AY108" s="136">
        <v>53017.76999999996</v>
      </c>
      <c r="AZ108" s="136">
        <v>53017.76999999996</v>
      </c>
      <c r="BA108" s="136">
        <v>0</v>
      </c>
      <c r="BB108" s="603"/>
      <c r="BC108" s="543"/>
      <c r="BD108" s="684">
        <v>53017.77</v>
      </c>
      <c r="BE108" s="587">
        <v>112598.85097666309</v>
      </c>
      <c r="BF108" s="94"/>
    </row>
    <row r="109" spans="1:58" ht="15">
      <c r="A109" s="180" t="s">
        <v>38</v>
      </c>
      <c r="B109" s="155">
        <v>142560</v>
      </c>
      <c r="C109" s="146">
        <v>593762.4</v>
      </c>
      <c r="D109" s="157">
        <v>365666.39999999997</v>
      </c>
      <c r="E109" s="158">
        <v>57024</v>
      </c>
      <c r="F109" s="156">
        <v>171072</v>
      </c>
      <c r="G109" s="158">
        <v>41342.399999999994</v>
      </c>
      <c r="H109" s="157">
        <v>20671.20000000001</v>
      </c>
      <c r="I109" s="319">
        <v>31.338411316648532</v>
      </c>
      <c r="J109" s="155">
        <v>267345</v>
      </c>
      <c r="K109" s="160">
        <v>1113491.925</v>
      </c>
      <c r="L109" s="173">
        <v>617299.6050000001</v>
      </c>
      <c r="M109" s="174">
        <v>175378.32</v>
      </c>
      <c r="N109" s="175">
        <v>320814</v>
      </c>
      <c r="O109" s="174">
        <v>9089.729999999981</v>
      </c>
      <c r="P109" s="173">
        <v>123246.04499999993</v>
      </c>
      <c r="Q109" s="321">
        <v>58.76941339400534</v>
      </c>
      <c r="R109" s="176">
        <v>45000</v>
      </c>
      <c r="S109" s="150">
        <v>144000</v>
      </c>
      <c r="T109" s="157">
        <v>85500</v>
      </c>
      <c r="U109" s="158">
        <v>13500</v>
      </c>
      <c r="V109" s="156">
        <v>45000</v>
      </c>
      <c r="W109" s="158">
        <v>4500</v>
      </c>
      <c r="X109" s="157">
        <v>18900</v>
      </c>
      <c r="Y109" s="321">
        <v>9.892175289346127</v>
      </c>
      <c r="Z109" s="155">
        <v>454905</v>
      </c>
      <c r="AA109" s="156">
        <v>1851254.3250000002</v>
      </c>
      <c r="AB109" s="157">
        <v>1068466.0050000001</v>
      </c>
      <c r="AC109" s="157">
        <v>162817.24499999994</v>
      </c>
      <c r="AD109" s="158">
        <v>245902.32</v>
      </c>
      <c r="AE109" s="174">
        <v>54932.129999999976</v>
      </c>
      <c r="AF109" s="596">
        <v>4.548210505490157</v>
      </c>
      <c r="AG109" s="531">
        <v>245902.32</v>
      </c>
      <c r="AH109" s="552">
        <v>245902.32</v>
      </c>
      <c r="AI109" s="594">
        <v>0</v>
      </c>
      <c r="AJ109" s="611" t="s">
        <v>265</v>
      </c>
      <c r="AK109" s="533"/>
      <c r="AL109" s="669">
        <v>245902.32</v>
      </c>
      <c r="AM109" s="567">
        <v>1231283.25</v>
      </c>
      <c r="AN109" s="677">
        <v>1068466.01</v>
      </c>
      <c r="AO109" s="676">
        <v>-162817.24</v>
      </c>
      <c r="AP109" s="558" t="s">
        <v>80</v>
      </c>
      <c r="AQ109" s="559">
        <v>41187</v>
      </c>
      <c r="AR109" s="646">
        <v>938618.15</v>
      </c>
      <c r="AS109" s="591">
        <v>938534.0531728393</v>
      </c>
      <c r="AT109" s="591">
        <v>-84.09682716068346</v>
      </c>
      <c r="AU109" s="565">
        <v>292665.1</v>
      </c>
      <c r="AV109" s="537"/>
      <c r="AW109" s="564"/>
      <c r="AX109" s="561"/>
      <c r="AY109" s="136">
        <v>54932.129999999976</v>
      </c>
      <c r="AZ109" s="136">
        <v>54932.129999999976</v>
      </c>
      <c r="BA109" s="136">
        <v>0</v>
      </c>
      <c r="BB109" s="603"/>
      <c r="BC109" s="543"/>
      <c r="BD109" s="684">
        <v>54932.13</v>
      </c>
      <c r="BE109" s="587">
        <v>292665.1</v>
      </c>
      <c r="BF109" s="94"/>
    </row>
    <row r="110" spans="1:57" ht="15">
      <c r="A110" s="180" t="s">
        <v>39</v>
      </c>
      <c r="B110" s="155">
        <v>135805</v>
      </c>
      <c r="C110" s="156">
        <v>679025</v>
      </c>
      <c r="D110" s="157">
        <v>368031.55</v>
      </c>
      <c r="E110" s="158">
        <v>93705.45</v>
      </c>
      <c r="F110" s="156">
        <v>217288</v>
      </c>
      <c r="G110" s="158">
        <v>0</v>
      </c>
      <c r="H110" s="157">
        <v>0</v>
      </c>
      <c r="I110" s="319">
        <v>30.54577761783196</v>
      </c>
      <c r="J110" s="155">
        <v>264870</v>
      </c>
      <c r="K110" s="175">
        <v>1340242.2</v>
      </c>
      <c r="L110" s="173">
        <v>733689.9</v>
      </c>
      <c r="M110" s="174">
        <v>182760.3</v>
      </c>
      <c r="N110" s="175">
        <v>423792</v>
      </c>
      <c r="O110" s="174">
        <v>0</v>
      </c>
      <c r="P110" s="173">
        <v>0</v>
      </c>
      <c r="Q110" s="321">
        <v>59.575568776077105</v>
      </c>
      <c r="R110" s="176">
        <v>43920</v>
      </c>
      <c r="S110" s="156">
        <v>176558.4</v>
      </c>
      <c r="T110" s="157">
        <v>101894.4</v>
      </c>
      <c r="U110" s="158">
        <v>17568</v>
      </c>
      <c r="V110" s="156">
        <v>57096</v>
      </c>
      <c r="W110" s="158">
        <v>0</v>
      </c>
      <c r="X110" s="157">
        <v>0</v>
      </c>
      <c r="Y110" s="321">
        <v>9.878653606090937</v>
      </c>
      <c r="Z110" s="155">
        <v>444595</v>
      </c>
      <c r="AA110" s="156">
        <v>2195825.6</v>
      </c>
      <c r="AB110" s="157">
        <v>1203615.8499999999</v>
      </c>
      <c r="AC110" s="157">
        <v>0</v>
      </c>
      <c r="AD110" s="158">
        <v>294033.75</v>
      </c>
      <c r="AE110" s="174">
        <v>0</v>
      </c>
      <c r="AF110" s="596">
        <v>4.927691665286938</v>
      </c>
      <c r="AG110" s="531">
        <v>294033.75</v>
      </c>
      <c r="AH110" s="552">
        <v>294033.75</v>
      </c>
      <c r="AI110" s="594">
        <v>0</v>
      </c>
      <c r="AJ110" s="611" t="s">
        <v>268</v>
      </c>
      <c r="AK110" s="533"/>
      <c r="AL110" s="669">
        <v>294033.75</v>
      </c>
      <c r="AM110" s="567">
        <v>1203615.8499999999</v>
      </c>
      <c r="AN110" s="677">
        <v>1203615.85</v>
      </c>
      <c r="AO110" s="676">
        <v>0</v>
      </c>
      <c r="AP110" s="537"/>
      <c r="AQ110" s="537"/>
      <c r="AR110" s="646">
        <v>966304.88</v>
      </c>
      <c r="AS110" s="591">
        <v>964009.0806867332</v>
      </c>
      <c r="AT110" s="591">
        <v>-2295.7993132667616</v>
      </c>
      <c r="AU110" s="565">
        <v>237310.96999999986</v>
      </c>
      <c r="AV110" s="537"/>
      <c r="AW110" s="564"/>
      <c r="AX110" s="561"/>
      <c r="AY110" s="136">
        <v>0</v>
      </c>
      <c r="AZ110" s="616">
        <v>0</v>
      </c>
      <c r="BA110" s="136">
        <v>0</v>
      </c>
      <c r="BB110" s="603"/>
      <c r="BC110" s="543"/>
      <c r="BD110" s="684"/>
      <c r="BE110" s="587"/>
    </row>
    <row r="111" spans="1:57" ht="15">
      <c r="A111" s="180" t="s">
        <v>40</v>
      </c>
      <c r="B111" s="155">
        <v>130415</v>
      </c>
      <c r="C111" s="156">
        <v>652075</v>
      </c>
      <c r="D111" s="157">
        <v>353424.65</v>
      </c>
      <c r="E111" s="158">
        <v>89986.34999999999</v>
      </c>
      <c r="F111" s="156">
        <v>208664</v>
      </c>
      <c r="G111" s="158">
        <v>0</v>
      </c>
      <c r="H111" s="157">
        <v>0</v>
      </c>
      <c r="I111" s="319">
        <v>29.837104486490198</v>
      </c>
      <c r="J111" s="155">
        <v>259515</v>
      </c>
      <c r="K111" s="175">
        <v>1313145.9</v>
      </c>
      <c r="L111" s="173">
        <v>718856.55</v>
      </c>
      <c r="M111" s="174">
        <v>179065.34999999998</v>
      </c>
      <c r="N111" s="175">
        <v>415224</v>
      </c>
      <c r="O111" s="174">
        <v>0</v>
      </c>
      <c r="P111" s="173">
        <v>0</v>
      </c>
      <c r="Q111" s="321">
        <v>59.37335560182113</v>
      </c>
      <c r="R111" s="176">
        <v>47160</v>
      </c>
      <c r="S111" s="156">
        <v>189583.19999999998</v>
      </c>
      <c r="T111" s="157">
        <v>109411.2</v>
      </c>
      <c r="U111" s="158">
        <v>18864</v>
      </c>
      <c r="V111" s="156">
        <v>61308</v>
      </c>
      <c r="W111" s="158">
        <v>0</v>
      </c>
      <c r="X111" s="157">
        <v>0</v>
      </c>
      <c r="Y111" s="321">
        <v>10.789539911688669</v>
      </c>
      <c r="Z111" s="155">
        <v>437090</v>
      </c>
      <c r="AA111" s="156">
        <v>2154804.1</v>
      </c>
      <c r="AB111" s="157">
        <v>1181692.4000000001</v>
      </c>
      <c r="AC111" s="157">
        <v>0</v>
      </c>
      <c r="AD111" s="158">
        <v>287915.69999999995</v>
      </c>
      <c r="AE111" s="174">
        <v>0</v>
      </c>
      <c r="AF111" s="596">
        <v>4.917606974191087</v>
      </c>
      <c r="AG111" s="531">
        <v>287915.69999999995</v>
      </c>
      <c r="AH111" s="552">
        <v>287915.7</v>
      </c>
      <c r="AI111" s="594">
        <v>0</v>
      </c>
      <c r="AJ111" s="611" t="s">
        <v>269</v>
      </c>
      <c r="AK111" s="533"/>
      <c r="AL111" s="669">
        <v>287915.7</v>
      </c>
      <c r="AM111" s="567">
        <v>1181692.4000000001</v>
      </c>
      <c r="AN111" s="677">
        <v>1181692.4</v>
      </c>
      <c r="AO111" s="676">
        <v>0</v>
      </c>
      <c r="AP111" s="537"/>
      <c r="AQ111" s="537"/>
      <c r="AR111" s="646">
        <v>834631.09</v>
      </c>
      <c r="AS111" s="591">
        <v>832604.3071097669</v>
      </c>
      <c r="AT111" s="591">
        <v>-2026.7828902330948</v>
      </c>
      <c r="AU111" s="565">
        <v>347061.3100000002</v>
      </c>
      <c r="AV111" s="537"/>
      <c r="AW111" s="564"/>
      <c r="AX111" s="561"/>
      <c r="AY111" s="136">
        <v>0</v>
      </c>
      <c r="AZ111" s="616">
        <v>0</v>
      </c>
      <c r="BA111" s="136">
        <v>0</v>
      </c>
      <c r="BB111" s="603"/>
      <c r="BC111" s="543"/>
      <c r="BD111" s="684"/>
      <c r="BE111" s="587"/>
    </row>
    <row r="112" spans="1:57" ht="15">
      <c r="A112" s="181" t="s">
        <v>41</v>
      </c>
      <c r="B112" s="155">
        <v>63865</v>
      </c>
      <c r="C112" s="156">
        <v>319325</v>
      </c>
      <c r="D112" s="157">
        <v>173074.15</v>
      </c>
      <c r="E112" s="158">
        <v>44066.85</v>
      </c>
      <c r="F112" s="156">
        <v>102184</v>
      </c>
      <c r="G112" s="158">
        <v>0</v>
      </c>
      <c r="H112" s="157">
        <v>0</v>
      </c>
      <c r="I112" s="319">
        <v>29.455308550871692</v>
      </c>
      <c r="J112" s="155">
        <v>130635</v>
      </c>
      <c r="K112" s="175">
        <v>661013.1</v>
      </c>
      <c r="L112" s="173">
        <v>361858.95</v>
      </c>
      <c r="M112" s="174">
        <v>90138.15</v>
      </c>
      <c r="N112" s="175">
        <v>209016</v>
      </c>
      <c r="O112" s="174">
        <v>0</v>
      </c>
      <c r="P112" s="173">
        <v>0</v>
      </c>
      <c r="Q112" s="321">
        <v>60.25043815146204</v>
      </c>
      <c r="R112" s="176">
        <v>22320</v>
      </c>
      <c r="S112" s="156">
        <v>89726.4</v>
      </c>
      <c r="T112" s="157">
        <v>51782.399999999994</v>
      </c>
      <c r="U112" s="158">
        <v>8928</v>
      </c>
      <c r="V112" s="156">
        <v>29016</v>
      </c>
      <c r="W112" s="158">
        <v>0</v>
      </c>
      <c r="X112" s="157">
        <v>0</v>
      </c>
      <c r="Y112" s="321">
        <v>10.294253297666266</v>
      </c>
      <c r="Z112" s="155">
        <v>216820</v>
      </c>
      <c r="AA112" s="156">
        <v>1070064.5</v>
      </c>
      <c r="AB112" s="157">
        <v>586715.5</v>
      </c>
      <c r="AC112" s="157">
        <v>0</v>
      </c>
      <c r="AD112" s="158">
        <v>143133</v>
      </c>
      <c r="AE112" s="174">
        <v>0</v>
      </c>
      <c r="AF112" s="596">
        <v>4.923550716978776</v>
      </c>
      <c r="AG112" s="531">
        <v>143133</v>
      </c>
      <c r="AH112" s="552">
        <v>143133</v>
      </c>
      <c r="AI112" s="594">
        <v>0</v>
      </c>
      <c r="AJ112" s="611" t="s">
        <v>264</v>
      </c>
      <c r="AK112" s="533"/>
      <c r="AL112" s="669">
        <v>143133</v>
      </c>
      <c r="AM112" s="567">
        <v>586715.5</v>
      </c>
      <c r="AN112" s="678">
        <v>586715.5</v>
      </c>
      <c r="AO112" s="679">
        <v>0</v>
      </c>
      <c r="AP112" s="537"/>
      <c r="AQ112" s="537"/>
      <c r="AR112" s="646">
        <v>586715.5</v>
      </c>
      <c r="AS112" s="591">
        <v>586715.5</v>
      </c>
      <c r="AT112" s="591">
        <v>0</v>
      </c>
      <c r="AU112" s="565">
        <v>0</v>
      </c>
      <c r="AV112" s="537"/>
      <c r="AW112" s="564"/>
      <c r="AX112" s="561"/>
      <c r="AY112" s="136">
        <v>0</v>
      </c>
      <c r="AZ112" s="616">
        <v>0</v>
      </c>
      <c r="BA112" s="136">
        <v>0</v>
      </c>
      <c r="BB112" s="603"/>
      <c r="BC112" s="543"/>
      <c r="BD112" s="684"/>
      <c r="BE112" s="587"/>
    </row>
    <row r="113" spans="1:57" ht="15">
      <c r="A113" s="181" t="s">
        <v>42</v>
      </c>
      <c r="B113" s="155">
        <v>57345</v>
      </c>
      <c r="C113" s="156">
        <v>286725</v>
      </c>
      <c r="D113" s="157">
        <v>155404.95</v>
      </c>
      <c r="E113" s="158">
        <v>39568.049999999996</v>
      </c>
      <c r="F113" s="156">
        <v>91752</v>
      </c>
      <c r="G113" s="158">
        <v>0</v>
      </c>
      <c r="H113" s="157">
        <v>0</v>
      </c>
      <c r="I113" s="319">
        <v>27.497662375026973</v>
      </c>
      <c r="J113" s="155">
        <v>127080</v>
      </c>
      <c r="K113" s="175">
        <v>643024.7999999999</v>
      </c>
      <c r="L113" s="173">
        <v>352011.6</v>
      </c>
      <c r="M113" s="174">
        <v>87685.2</v>
      </c>
      <c r="N113" s="175">
        <v>203328</v>
      </c>
      <c r="O113" s="174">
        <v>0</v>
      </c>
      <c r="P113" s="173">
        <v>0</v>
      </c>
      <c r="Q113" s="321">
        <v>60.936488527655904</v>
      </c>
      <c r="R113" s="176">
        <v>24120</v>
      </c>
      <c r="S113" s="156">
        <v>96962.4</v>
      </c>
      <c r="T113" s="157">
        <v>55958.399999999994</v>
      </c>
      <c r="U113" s="158">
        <v>9648</v>
      </c>
      <c r="V113" s="156">
        <v>31356</v>
      </c>
      <c r="W113" s="158">
        <v>0</v>
      </c>
      <c r="X113" s="157">
        <v>0</v>
      </c>
      <c r="Y113" s="321">
        <v>11.565849097317125</v>
      </c>
      <c r="Z113" s="155">
        <v>208545</v>
      </c>
      <c r="AA113" s="156">
        <v>1026712.2</v>
      </c>
      <c r="AB113" s="157">
        <v>563374.95</v>
      </c>
      <c r="AC113" s="157">
        <v>0</v>
      </c>
      <c r="AD113" s="158">
        <v>136901.25</v>
      </c>
      <c r="AE113" s="174">
        <v>0</v>
      </c>
      <c r="AF113" s="596">
        <v>4.9100535084102415</v>
      </c>
      <c r="AG113" s="531">
        <v>136901.25</v>
      </c>
      <c r="AH113" s="552">
        <v>136901.25</v>
      </c>
      <c r="AI113" s="594">
        <v>0</v>
      </c>
      <c r="AJ113" s="611" t="s">
        <v>271</v>
      </c>
      <c r="AK113" s="533"/>
      <c r="AL113" s="669">
        <v>136901.25</v>
      </c>
      <c r="AM113" s="567">
        <v>563374.95</v>
      </c>
      <c r="AN113" s="678">
        <v>563374.95</v>
      </c>
      <c r="AO113" s="679">
        <v>0</v>
      </c>
      <c r="AP113" s="537"/>
      <c r="AQ113" s="537"/>
      <c r="AR113" s="646">
        <v>514380.73</v>
      </c>
      <c r="AS113" s="591">
        <v>512944.94409626845</v>
      </c>
      <c r="AT113" s="591">
        <v>-1435.7859037315357</v>
      </c>
      <c r="AU113" s="565">
        <v>48994.21999999997</v>
      </c>
      <c r="AV113" s="537"/>
      <c r="AW113" s="564"/>
      <c r="AX113" s="561"/>
      <c r="AY113" s="136">
        <v>0</v>
      </c>
      <c r="AZ113" s="616">
        <v>0</v>
      </c>
      <c r="BA113" s="136">
        <v>0</v>
      </c>
      <c r="BB113" s="603"/>
      <c r="BC113" s="543"/>
      <c r="BD113" s="684"/>
      <c r="BE113" s="587"/>
    </row>
    <row r="114" spans="1:57" ht="15">
      <c r="A114" s="181" t="s">
        <v>43</v>
      </c>
      <c r="B114" s="155">
        <v>51020</v>
      </c>
      <c r="C114" s="156">
        <v>255100</v>
      </c>
      <c r="D114" s="157">
        <v>138264.2</v>
      </c>
      <c r="E114" s="158">
        <v>35203.799999999996</v>
      </c>
      <c r="F114" s="156">
        <v>81632</v>
      </c>
      <c r="G114" s="158">
        <v>0</v>
      </c>
      <c r="H114" s="157">
        <v>0</v>
      </c>
      <c r="I114" s="319">
        <v>26.01733809280979</v>
      </c>
      <c r="J114" s="155">
        <v>119340</v>
      </c>
      <c r="K114" s="175">
        <v>603860.3999999999</v>
      </c>
      <c r="L114" s="173">
        <v>330571.8</v>
      </c>
      <c r="M114" s="174">
        <v>82344.59999999999</v>
      </c>
      <c r="N114" s="175">
        <v>190944</v>
      </c>
      <c r="O114" s="174">
        <v>0</v>
      </c>
      <c r="P114" s="173">
        <v>0</v>
      </c>
      <c r="Q114" s="321">
        <v>60.85670576236614</v>
      </c>
      <c r="R114" s="176">
        <v>25740</v>
      </c>
      <c r="S114" s="156">
        <v>103474.79999999999</v>
      </c>
      <c r="T114" s="157">
        <v>59716.799999999996</v>
      </c>
      <c r="U114" s="158">
        <v>10296</v>
      </c>
      <c r="V114" s="156">
        <v>33462</v>
      </c>
      <c r="W114" s="158">
        <v>0</v>
      </c>
      <c r="X114" s="157">
        <v>0</v>
      </c>
      <c r="Y114" s="321">
        <v>13.12595614482407</v>
      </c>
      <c r="Z114" s="155">
        <v>196100</v>
      </c>
      <c r="AA114" s="156">
        <v>962435.2</v>
      </c>
      <c r="AB114" s="157">
        <v>528552.8</v>
      </c>
      <c r="AC114" s="157">
        <v>0</v>
      </c>
      <c r="AD114" s="158">
        <v>127844.4</v>
      </c>
      <c r="AE114" s="174">
        <v>0</v>
      </c>
      <c r="AF114" s="596">
        <v>4.892941035807659</v>
      </c>
      <c r="AG114" s="531">
        <v>127844.4</v>
      </c>
      <c r="AH114" s="552">
        <v>127844.4</v>
      </c>
      <c r="AI114" s="598">
        <v>0</v>
      </c>
      <c r="AJ114" s="629" t="s">
        <v>282</v>
      </c>
      <c r="AK114" s="534"/>
      <c r="AL114" s="670">
        <v>127844.4</v>
      </c>
      <c r="AM114" s="567">
        <v>528552.8</v>
      </c>
      <c r="AN114" s="680">
        <v>528522.8</v>
      </c>
      <c r="AO114" s="681">
        <v>-30</v>
      </c>
      <c r="AP114" s="539"/>
      <c r="AQ114" s="539"/>
      <c r="AR114" s="682">
        <v>526095.16</v>
      </c>
      <c r="AS114" s="591">
        <v>528552.8</v>
      </c>
      <c r="AT114" s="591">
        <v>2457.640000000014</v>
      </c>
      <c r="AU114" s="565">
        <v>2457.640000000014</v>
      </c>
      <c r="AV114" s="539"/>
      <c r="AW114" s="570"/>
      <c r="AX114" s="562"/>
      <c r="AY114" s="136">
        <v>0</v>
      </c>
      <c r="AZ114" s="616">
        <v>0</v>
      </c>
      <c r="BA114" s="136">
        <v>0</v>
      </c>
      <c r="BB114" s="600"/>
      <c r="BC114" s="544"/>
      <c r="BD114" s="685"/>
      <c r="BE114" s="588"/>
    </row>
    <row r="115" spans="1:57" ht="15">
      <c r="A115" s="122" t="s">
        <v>23</v>
      </c>
      <c r="B115" s="123">
        <v>1091355</v>
      </c>
      <c r="C115" s="124">
        <v>4911599.324999999</v>
      </c>
      <c r="D115" s="130">
        <v>2862900.825</v>
      </c>
      <c r="E115" s="129">
        <v>563692.5</v>
      </c>
      <c r="F115" s="124">
        <v>1485006</v>
      </c>
      <c r="G115" s="129">
        <v>189342.44999999995</v>
      </c>
      <c r="H115" s="130">
        <v>94671.2250000001</v>
      </c>
      <c r="I115" s="521">
        <v>31.040421846234548</v>
      </c>
      <c r="J115" s="123">
        <v>2075220</v>
      </c>
      <c r="K115" s="124">
        <v>9450080.100000001</v>
      </c>
      <c r="L115" s="130">
        <v>5207246.819999999</v>
      </c>
      <c r="M115" s="129">
        <v>1391993.28</v>
      </c>
      <c r="N115" s="124">
        <v>2850840</v>
      </c>
      <c r="O115" s="129">
        <v>39908.51999999988</v>
      </c>
      <c r="P115" s="130">
        <v>541112.5799999997</v>
      </c>
      <c r="Q115" s="521">
        <v>58.806074260834784</v>
      </c>
      <c r="R115" s="123">
        <v>356940</v>
      </c>
      <c r="S115" s="124">
        <v>1276081.2</v>
      </c>
      <c r="T115" s="130">
        <v>746755.2000000001</v>
      </c>
      <c r="U115" s="129">
        <v>123408</v>
      </c>
      <c r="V115" s="124">
        <v>405918</v>
      </c>
      <c r="W115" s="129">
        <v>19368</v>
      </c>
      <c r="X115" s="130">
        <v>81345.59999999998</v>
      </c>
      <c r="Y115" s="521">
        <v>10.15350389293067</v>
      </c>
      <c r="Z115" s="124">
        <v>3523515</v>
      </c>
      <c r="AA115" s="124">
        <v>15637760.624999998</v>
      </c>
      <c r="AB115" s="130">
        <v>8816902.845</v>
      </c>
      <c r="AC115" s="130">
        <v>717129.4049999998</v>
      </c>
      <c r="AD115" s="129">
        <v>2079093.7799999998</v>
      </c>
      <c r="AE115" s="129">
        <v>248618.96999999983</v>
      </c>
      <c r="AF115" s="292"/>
      <c r="AG115" s="625">
        <v>2079093.7799999998</v>
      </c>
      <c r="AH115" s="625">
        <v>2079093.7799999998</v>
      </c>
      <c r="AI115" s="387"/>
      <c r="AJ115" s="390"/>
      <c r="AK115" s="390"/>
      <c r="AL115" s="671">
        <v>2079093.7799999998</v>
      </c>
      <c r="AM115" s="770">
        <v>8979720.09</v>
      </c>
      <c r="AN115" s="681">
        <v>8819801.38</v>
      </c>
      <c r="AO115" s="681">
        <v>-159918.71000000014</v>
      </c>
      <c r="AP115" s="541"/>
      <c r="AQ115" s="541"/>
      <c r="AR115" s="583">
        <v>7604071.744706199</v>
      </c>
      <c r="AS115" s="583">
        <v>8035455.2613414945</v>
      </c>
      <c r="AT115" s="583">
        <v>431383.51663529663</v>
      </c>
      <c r="AU115" s="583">
        <v>943808.5337241127</v>
      </c>
      <c r="AV115" s="541"/>
      <c r="AW115" s="541"/>
      <c r="AX115" s="583">
        <v>434894.72000000003</v>
      </c>
      <c r="AY115" s="544"/>
      <c r="AZ115" s="624">
        <v>248618.96999999983</v>
      </c>
      <c r="BA115" s="544"/>
      <c r="BB115" s="545"/>
      <c r="BC115" s="545"/>
      <c r="BD115" s="686">
        <v>248618.97</v>
      </c>
      <c r="BE115" s="589">
        <v>307858.01529380126</v>
      </c>
    </row>
    <row r="116" spans="28:52" ht="15">
      <c r="AB116" s="94">
        <v>449411.1499999999</v>
      </c>
      <c r="AC116" s="94"/>
      <c r="AN116" s="94">
        <v>9254696.100000001</v>
      </c>
      <c r="AS116" s="94"/>
      <c r="AX116" s="94"/>
      <c r="AZ116" s="714" t="s">
        <v>311</v>
      </c>
    </row>
    <row r="117" spans="2:50" ht="15.75" thickBot="1">
      <c r="B117" t="s">
        <v>97</v>
      </c>
      <c r="U117" s="94"/>
      <c r="AE117" t="s">
        <v>97</v>
      </c>
      <c r="AN117" s="94">
        <v>279795.38999999873</v>
      </c>
      <c r="AX117" t="s">
        <v>97</v>
      </c>
    </row>
    <row r="118" spans="1:57" ht="27" thickBot="1">
      <c r="A118" s="833" t="s">
        <v>238</v>
      </c>
      <c r="B118" s="834"/>
      <c r="C118" s="834"/>
      <c r="D118" s="834"/>
      <c r="E118" s="834"/>
      <c r="F118" s="834"/>
      <c r="G118" s="834"/>
      <c r="H118" s="834"/>
      <c r="I118" s="834"/>
      <c r="J118" s="834"/>
      <c r="K118" s="834"/>
      <c r="L118" s="834"/>
      <c r="M118" s="834"/>
      <c r="N118" s="834"/>
      <c r="O118" s="834"/>
      <c r="P118" s="834"/>
      <c r="Q118" s="834"/>
      <c r="R118" s="834"/>
      <c r="S118" s="834"/>
      <c r="T118" s="834"/>
      <c r="U118" s="834"/>
      <c r="V118" s="834"/>
      <c r="W118" s="834"/>
      <c r="X118" s="834"/>
      <c r="Y118" s="834"/>
      <c r="Z118" s="834"/>
      <c r="AA118" s="834"/>
      <c r="AB118" s="834"/>
      <c r="AC118" s="834"/>
      <c r="AD118" s="834"/>
      <c r="AE118" s="834"/>
      <c r="AF118" s="835"/>
      <c r="AG118" s="833" t="s">
        <v>252</v>
      </c>
      <c r="AH118" s="834"/>
      <c r="AI118" s="834"/>
      <c r="AJ118" s="834"/>
      <c r="AK118" s="834"/>
      <c r="AL118" s="834"/>
      <c r="AM118" s="834"/>
      <c r="AN118" s="834"/>
      <c r="AO118" s="834"/>
      <c r="AP118" s="834"/>
      <c r="AQ118" s="834"/>
      <c r="AR118" s="834"/>
      <c r="AS118" s="834"/>
      <c r="AT118" s="834"/>
      <c r="AU118" s="834"/>
      <c r="AV118" s="834"/>
      <c r="AW118" s="834"/>
      <c r="AX118" s="834"/>
      <c r="AY118" s="834"/>
      <c r="AZ118" s="834"/>
      <c r="BA118" s="834"/>
      <c r="BB118" s="834"/>
      <c r="BC118" s="834"/>
      <c r="BD118" s="834"/>
      <c r="BE118" s="835"/>
    </row>
    <row r="119" spans="1:57" ht="15">
      <c r="A119" s="437">
        <v>2012</v>
      </c>
      <c r="B119" s="839" t="s">
        <v>102</v>
      </c>
      <c r="C119" s="840"/>
      <c r="D119" s="840"/>
      <c r="E119" s="840"/>
      <c r="F119" s="840"/>
      <c r="G119" s="840"/>
      <c r="H119" s="840"/>
      <c r="I119" s="438"/>
      <c r="J119" s="839" t="s">
        <v>189</v>
      </c>
      <c r="K119" s="840"/>
      <c r="L119" s="840"/>
      <c r="M119" s="840"/>
      <c r="N119" s="840"/>
      <c r="O119" s="840"/>
      <c r="P119" s="840"/>
      <c r="Q119" s="438"/>
      <c r="R119" s="861" t="s">
        <v>46</v>
      </c>
      <c r="S119" s="862"/>
      <c r="T119" s="862"/>
      <c r="U119" s="862"/>
      <c r="V119" s="862"/>
      <c r="W119" s="862"/>
      <c r="X119" s="862"/>
      <c r="Y119" s="438"/>
      <c r="Z119" s="840" t="s">
        <v>27</v>
      </c>
      <c r="AA119" s="840"/>
      <c r="AB119" s="957" t="s">
        <v>126</v>
      </c>
      <c r="AC119" s="958"/>
      <c r="AD119" s="959" t="s">
        <v>128</v>
      </c>
      <c r="AE119" s="958"/>
      <c r="AF119" s="962" t="s">
        <v>137</v>
      </c>
      <c r="AG119" s="853" t="s">
        <v>203</v>
      </c>
      <c r="AH119" s="854"/>
      <c r="AI119" s="854"/>
      <c r="AJ119" s="854"/>
      <c r="AK119" s="854"/>
      <c r="AL119" s="855"/>
      <c r="AM119" s="850" t="s">
        <v>201</v>
      </c>
      <c r="AN119" s="851"/>
      <c r="AO119" s="851"/>
      <c r="AP119" s="851"/>
      <c r="AQ119" s="851"/>
      <c r="AR119" s="851"/>
      <c r="AS119" s="851"/>
      <c r="AT119" s="851"/>
      <c r="AU119" s="851"/>
      <c r="AV119" s="851"/>
      <c r="AW119" s="851"/>
      <c r="AX119" s="852"/>
      <c r="AY119" s="847" t="s">
        <v>254</v>
      </c>
      <c r="AZ119" s="848"/>
      <c r="BA119" s="848"/>
      <c r="BB119" s="848"/>
      <c r="BC119" s="848"/>
      <c r="BD119" s="849"/>
      <c r="BE119" s="802" t="s">
        <v>241</v>
      </c>
    </row>
    <row r="120" spans="1:57" ht="15">
      <c r="A120" s="120" t="s">
        <v>5</v>
      </c>
      <c r="B120" s="121" t="s">
        <v>117</v>
      </c>
      <c r="C120" s="121" t="s">
        <v>7</v>
      </c>
      <c r="D120" s="121" t="s">
        <v>118</v>
      </c>
      <c r="E120" s="121" t="s">
        <v>119</v>
      </c>
      <c r="F120" s="121" t="s">
        <v>120</v>
      </c>
      <c r="G120" s="121" t="s">
        <v>121</v>
      </c>
      <c r="H120" s="121" t="s">
        <v>122</v>
      </c>
      <c r="I120" s="318" t="s">
        <v>0</v>
      </c>
      <c r="J120" s="121" t="s">
        <v>117</v>
      </c>
      <c r="K120" s="121" t="s">
        <v>7</v>
      </c>
      <c r="L120" s="125" t="s">
        <v>118</v>
      </c>
      <c r="M120" s="125" t="s">
        <v>119</v>
      </c>
      <c r="N120" s="125" t="s">
        <v>120</v>
      </c>
      <c r="O120" s="125" t="s">
        <v>121</v>
      </c>
      <c r="P120" s="125" t="s">
        <v>122</v>
      </c>
      <c r="Q120" s="324" t="s">
        <v>0</v>
      </c>
      <c r="R120" s="121" t="s">
        <v>117</v>
      </c>
      <c r="S120" s="121" t="s">
        <v>7</v>
      </c>
      <c r="T120" s="121" t="s">
        <v>123</v>
      </c>
      <c r="U120" s="121" t="s">
        <v>119</v>
      </c>
      <c r="V120" s="121" t="s">
        <v>120</v>
      </c>
      <c r="W120" s="121" t="s">
        <v>124</v>
      </c>
      <c r="X120" s="121" t="s">
        <v>125</v>
      </c>
      <c r="Y120" s="318" t="s">
        <v>0</v>
      </c>
      <c r="Z120" s="121" t="s">
        <v>117</v>
      </c>
      <c r="AA120" s="121" t="s">
        <v>7</v>
      </c>
      <c r="AB120" s="121" t="s">
        <v>7</v>
      </c>
      <c r="AC120" s="121" t="s">
        <v>127</v>
      </c>
      <c r="AD120" s="121" t="s">
        <v>7</v>
      </c>
      <c r="AE120" s="121" t="s">
        <v>127</v>
      </c>
      <c r="AF120" s="963"/>
      <c r="AG120" s="609" t="s">
        <v>255</v>
      </c>
      <c r="AH120" s="535" t="s">
        <v>256</v>
      </c>
      <c r="AI120" s="609" t="s">
        <v>143</v>
      </c>
      <c r="AJ120" s="527" t="s">
        <v>240</v>
      </c>
      <c r="AK120" s="527" t="s">
        <v>245</v>
      </c>
      <c r="AL120" s="551" t="s">
        <v>242</v>
      </c>
      <c r="AM120" s="568" t="s">
        <v>249</v>
      </c>
      <c r="AN120" s="548" t="s">
        <v>248</v>
      </c>
      <c r="AO120" s="571" t="s">
        <v>250</v>
      </c>
      <c r="AP120" s="548" t="s">
        <v>246</v>
      </c>
      <c r="AQ120" s="548" t="s">
        <v>245</v>
      </c>
      <c r="AR120" s="563" t="s">
        <v>259</v>
      </c>
      <c r="AS120" s="563" t="s">
        <v>260</v>
      </c>
      <c r="AT120" s="563" t="s">
        <v>262</v>
      </c>
      <c r="AU120" s="563" t="s">
        <v>261</v>
      </c>
      <c r="AV120" s="549" t="s">
        <v>239</v>
      </c>
      <c r="AW120" s="549" t="s">
        <v>245</v>
      </c>
      <c r="AX120" s="549" t="s">
        <v>258</v>
      </c>
      <c r="AY120" s="604" t="s">
        <v>255</v>
      </c>
      <c r="AZ120" s="550" t="s">
        <v>256</v>
      </c>
      <c r="BA120" s="604" t="s">
        <v>143</v>
      </c>
      <c r="BB120" s="550" t="s">
        <v>239</v>
      </c>
      <c r="BC120" s="550" t="s">
        <v>245</v>
      </c>
      <c r="BD120" s="621" t="s">
        <v>242</v>
      </c>
      <c r="BE120" s="803"/>
    </row>
    <row r="121" spans="1:57" ht="15">
      <c r="A121" s="180" t="s">
        <v>32</v>
      </c>
      <c r="B121" s="149">
        <v>65740</v>
      </c>
      <c r="C121" s="146">
        <v>273807.1</v>
      </c>
      <c r="D121" s="147">
        <v>168623.1</v>
      </c>
      <c r="E121" s="148">
        <v>26296</v>
      </c>
      <c r="F121" s="146">
        <v>78888</v>
      </c>
      <c r="G121" s="148">
        <v>19064.6</v>
      </c>
      <c r="H121" s="147">
        <v>9532.299999999988</v>
      </c>
      <c r="I121" s="323">
        <v>24.727765135130053</v>
      </c>
      <c r="J121" s="159">
        <v>180135</v>
      </c>
      <c r="K121" s="160">
        <v>750262.275</v>
      </c>
      <c r="L121" s="164">
        <v>415931.715</v>
      </c>
      <c r="M121" s="306">
        <v>118168.56000000001</v>
      </c>
      <c r="N121" s="163">
        <v>216162</v>
      </c>
      <c r="O121" s="162">
        <v>6124.589999999982</v>
      </c>
      <c r="P121" s="161">
        <v>83042.23499999999</v>
      </c>
      <c r="Q121" s="320">
        <v>67.75685994244984</v>
      </c>
      <c r="R121" s="165">
        <v>19980</v>
      </c>
      <c r="S121" s="150">
        <v>63935.99999999999</v>
      </c>
      <c r="T121" s="166">
        <v>37962</v>
      </c>
      <c r="U121" s="167">
        <v>5994</v>
      </c>
      <c r="V121" s="150">
        <v>19980</v>
      </c>
      <c r="W121" s="428">
        <v>1998</v>
      </c>
      <c r="X121" s="166">
        <v>8391.599999999999</v>
      </c>
      <c r="Y121" s="321">
        <v>7.515374922420116</v>
      </c>
      <c r="Z121" s="149">
        <v>265855</v>
      </c>
      <c r="AA121" s="150">
        <v>1088005.375</v>
      </c>
      <c r="AB121" s="166">
        <v>622516.8150000001</v>
      </c>
      <c r="AC121" s="166">
        <v>100966.13499999998</v>
      </c>
      <c r="AD121" s="158">
        <v>150458.56</v>
      </c>
      <c r="AE121" s="174">
        <v>27187.18999999998</v>
      </c>
      <c r="AF121" s="607">
        <v>4.574518816648173</v>
      </c>
      <c r="AG121" s="529">
        <v>150458.56</v>
      </c>
      <c r="AH121" s="617">
        <v>150458.56</v>
      </c>
      <c r="AI121" s="593">
        <v>0</v>
      </c>
      <c r="AJ121" s="610" t="s">
        <v>243</v>
      </c>
      <c r="AK121" s="528" t="s">
        <v>244</v>
      </c>
      <c r="AL121" s="572">
        <v>150458.56</v>
      </c>
      <c r="AM121" s="566">
        <v>622516.8150000001</v>
      </c>
      <c r="AN121" s="574">
        <v>622539.3450000001</v>
      </c>
      <c r="AO121" s="566">
        <v>22.53000000002794</v>
      </c>
      <c r="AP121" s="575" t="s">
        <v>54</v>
      </c>
      <c r="AQ121" s="639" t="s">
        <v>55</v>
      </c>
      <c r="AR121" s="645">
        <v>622539.3450000001</v>
      </c>
      <c r="AS121" s="643">
        <v>723482.9500000001</v>
      </c>
      <c r="AT121" s="590">
        <v>100943.60499999998</v>
      </c>
      <c r="AU121" s="560">
        <v>-100943.60499999998</v>
      </c>
      <c r="AV121" s="536"/>
      <c r="AW121" s="613"/>
      <c r="AX121" s="601"/>
      <c r="AY121" s="135">
        <v>27187.18999999998</v>
      </c>
      <c r="AZ121" s="622">
        <v>27187.18999999998</v>
      </c>
      <c r="BA121" s="135">
        <v>0</v>
      </c>
      <c r="BB121" s="602"/>
      <c r="BC121" s="542"/>
      <c r="BD121" s="580"/>
      <c r="BE121" s="586">
        <v>27187.18999999998</v>
      </c>
    </row>
    <row r="122" spans="1:57" ht="15">
      <c r="A122" s="180" t="s">
        <v>33</v>
      </c>
      <c r="B122" s="149">
        <v>82340</v>
      </c>
      <c r="C122" s="146">
        <v>342946.1</v>
      </c>
      <c r="D122" s="147">
        <v>211202.1</v>
      </c>
      <c r="E122" s="148">
        <v>32936</v>
      </c>
      <c r="F122" s="146">
        <v>98808</v>
      </c>
      <c r="G122" s="148">
        <v>23878.6</v>
      </c>
      <c r="H122" s="147">
        <v>11939.299999999988</v>
      </c>
      <c r="I122" s="323">
        <v>26.110670683367687</v>
      </c>
      <c r="J122" s="168">
        <v>213210</v>
      </c>
      <c r="K122" s="160">
        <v>888019.65</v>
      </c>
      <c r="L122" s="166">
        <v>492301.89</v>
      </c>
      <c r="M122" s="305">
        <v>139865.76</v>
      </c>
      <c r="N122" s="154">
        <v>255852</v>
      </c>
      <c r="O122" s="153">
        <v>7249.139999999985</v>
      </c>
      <c r="P122" s="152">
        <v>98289.80999999994</v>
      </c>
      <c r="Q122" s="321">
        <v>67.61059140637387</v>
      </c>
      <c r="R122" s="170">
        <v>19800</v>
      </c>
      <c r="S122" s="150">
        <v>63359.99999999999</v>
      </c>
      <c r="T122" s="169">
        <v>37620</v>
      </c>
      <c r="U122" s="171">
        <v>5940</v>
      </c>
      <c r="V122" s="151">
        <v>19800</v>
      </c>
      <c r="W122" s="171">
        <v>1980</v>
      </c>
      <c r="X122" s="169">
        <v>8316</v>
      </c>
      <c r="Y122" s="321">
        <v>6.278737910258443</v>
      </c>
      <c r="Z122" s="469">
        <v>315350</v>
      </c>
      <c r="AA122" s="151">
        <v>1294325.75</v>
      </c>
      <c r="AB122" s="169">
        <v>741123.99</v>
      </c>
      <c r="AC122" s="169">
        <v>118545.10999999993</v>
      </c>
      <c r="AD122" s="158">
        <v>178741.76</v>
      </c>
      <c r="AE122" s="174">
        <v>33107.73999999998</v>
      </c>
      <c r="AF122" s="608">
        <v>4.585313461233549</v>
      </c>
      <c r="AG122" s="531">
        <v>178741.76</v>
      </c>
      <c r="AH122" s="552">
        <v>178741.76</v>
      </c>
      <c r="AI122" s="594">
        <v>0</v>
      </c>
      <c r="AJ122" s="611" t="s">
        <v>71</v>
      </c>
      <c r="AK122" s="530">
        <v>41211</v>
      </c>
      <c r="AL122" s="573">
        <v>178741.76</v>
      </c>
      <c r="AM122" s="567">
        <v>741123.99</v>
      </c>
      <c r="AN122" s="569">
        <v>741150.92</v>
      </c>
      <c r="AO122" s="567">
        <v>26.930000000051223</v>
      </c>
      <c r="AP122" s="576" t="s">
        <v>56</v>
      </c>
      <c r="AQ122" s="640" t="s">
        <v>57</v>
      </c>
      <c r="AR122" s="646">
        <v>721507.47</v>
      </c>
      <c r="AS122" s="644">
        <v>733199.7689175344</v>
      </c>
      <c r="AT122" s="591">
        <v>11692.298917534412</v>
      </c>
      <c r="AU122" s="565">
        <v>7951.151082465658</v>
      </c>
      <c r="AV122" s="612" t="s">
        <v>71</v>
      </c>
      <c r="AW122" s="614">
        <v>41211</v>
      </c>
      <c r="AX122" s="615">
        <v>19643.45</v>
      </c>
      <c r="AY122" s="136">
        <v>33107.73999999998</v>
      </c>
      <c r="AZ122" s="623">
        <v>33107.73999999998</v>
      </c>
      <c r="BA122" s="136">
        <v>0</v>
      </c>
      <c r="BB122" s="603"/>
      <c r="BC122" s="543"/>
      <c r="BD122" s="581"/>
      <c r="BE122" s="587">
        <v>33107.74000000005</v>
      </c>
    </row>
    <row r="123" spans="1:57" ht="15">
      <c r="A123" s="180" t="s">
        <v>34</v>
      </c>
      <c r="B123" s="149">
        <v>92390</v>
      </c>
      <c r="C123" s="146">
        <v>384804.35</v>
      </c>
      <c r="D123" s="147">
        <v>236980.35</v>
      </c>
      <c r="E123" s="148">
        <v>36956</v>
      </c>
      <c r="F123" s="146">
        <v>110868</v>
      </c>
      <c r="G123" s="148">
        <v>26793.1</v>
      </c>
      <c r="H123" s="147">
        <v>13396.549999999988</v>
      </c>
      <c r="I123" s="323">
        <v>24.795695173172664</v>
      </c>
      <c r="J123" s="168">
        <v>257895</v>
      </c>
      <c r="K123" s="160">
        <v>1074132.675</v>
      </c>
      <c r="L123" s="166">
        <v>595479.555</v>
      </c>
      <c r="M123" s="305">
        <v>169179.12</v>
      </c>
      <c r="N123" s="154">
        <v>309474</v>
      </c>
      <c r="O123" s="153">
        <v>8768.429999999993</v>
      </c>
      <c r="P123" s="152">
        <v>118889.59499999997</v>
      </c>
      <c r="Q123" s="321">
        <v>69.21404704714108</v>
      </c>
      <c r="R123" s="170">
        <v>22320</v>
      </c>
      <c r="S123" s="150">
        <v>71424</v>
      </c>
      <c r="T123" s="169">
        <v>42408</v>
      </c>
      <c r="U123" s="171">
        <v>6696</v>
      </c>
      <c r="V123" s="151">
        <v>22320</v>
      </c>
      <c r="W123" s="171">
        <v>2232</v>
      </c>
      <c r="X123" s="169">
        <v>9374.399999999994</v>
      </c>
      <c r="Y123" s="321">
        <v>5.990257779686263</v>
      </c>
      <c r="Z123" s="469">
        <v>372605</v>
      </c>
      <c r="AA123" s="151">
        <v>1530361.025</v>
      </c>
      <c r="AB123" s="169">
        <v>874867.905</v>
      </c>
      <c r="AC123" s="169">
        <v>141660.54499999995</v>
      </c>
      <c r="AD123" s="158">
        <v>212831.12</v>
      </c>
      <c r="AE123" s="174">
        <v>37793.52999999999</v>
      </c>
      <c r="AF123" s="608">
        <v>4.588814159767045</v>
      </c>
      <c r="AG123" s="531">
        <v>212831.12</v>
      </c>
      <c r="AH123" s="552">
        <v>212831.12</v>
      </c>
      <c r="AI123" s="594">
        <v>0</v>
      </c>
      <c r="AJ123" s="611" t="s">
        <v>72</v>
      </c>
      <c r="AK123" s="530">
        <v>41257</v>
      </c>
      <c r="AL123" s="573">
        <v>212831.12</v>
      </c>
      <c r="AM123" s="567">
        <v>874867.905</v>
      </c>
      <c r="AN123" s="569">
        <v>874900.0650000001</v>
      </c>
      <c r="AO123" s="567">
        <v>32.160000000032596</v>
      </c>
      <c r="AP123" s="576" t="s">
        <v>59</v>
      </c>
      <c r="AQ123" s="641">
        <v>41064</v>
      </c>
      <c r="AR123" s="646">
        <v>742709.05</v>
      </c>
      <c r="AS123" s="644">
        <v>802637.1033832097</v>
      </c>
      <c r="AT123" s="591">
        <v>59928.053383209626</v>
      </c>
      <c r="AU123" s="565">
        <v>72262.96161679039</v>
      </c>
      <c r="AV123" s="537"/>
      <c r="AW123" s="564"/>
      <c r="AX123" s="561"/>
      <c r="AY123" s="136">
        <v>37793.52999999999</v>
      </c>
      <c r="AZ123" s="623">
        <v>37793.52999999999</v>
      </c>
      <c r="BA123" s="136">
        <v>0</v>
      </c>
      <c r="BB123" s="603"/>
      <c r="BC123" s="543"/>
      <c r="BD123" s="581"/>
      <c r="BE123" s="587">
        <v>169984.545</v>
      </c>
    </row>
    <row r="124" spans="1:57" ht="15">
      <c r="A124" s="180" t="s">
        <v>35</v>
      </c>
      <c r="B124" s="149">
        <v>91875</v>
      </c>
      <c r="C124" s="146">
        <v>382659.375</v>
      </c>
      <c r="D124" s="147">
        <v>235659.375</v>
      </c>
      <c r="E124" s="148">
        <v>36750</v>
      </c>
      <c r="F124" s="146">
        <v>110250</v>
      </c>
      <c r="G124" s="148">
        <v>26643.749999999993</v>
      </c>
      <c r="H124" s="147">
        <v>13321.875</v>
      </c>
      <c r="I124" s="323">
        <v>23.355576739752145</v>
      </c>
      <c r="J124" s="168">
        <v>277200</v>
      </c>
      <c r="K124" s="160">
        <v>1154538</v>
      </c>
      <c r="L124" s="166">
        <v>640054.8</v>
      </c>
      <c r="M124" s="305">
        <v>181843.2</v>
      </c>
      <c r="N124" s="154">
        <v>332640</v>
      </c>
      <c r="O124" s="153">
        <v>9424.79999999996</v>
      </c>
      <c r="P124" s="152">
        <v>127789.19999999995</v>
      </c>
      <c r="Q124" s="321">
        <v>70.46711153479504</v>
      </c>
      <c r="R124" s="170">
        <v>24300</v>
      </c>
      <c r="S124" s="150">
        <v>77760</v>
      </c>
      <c r="T124" s="169">
        <v>46170</v>
      </c>
      <c r="U124" s="171">
        <v>7290</v>
      </c>
      <c r="V124" s="151">
        <v>24300</v>
      </c>
      <c r="W124" s="171">
        <v>2430</v>
      </c>
      <c r="X124" s="169">
        <v>10205.999999999993</v>
      </c>
      <c r="Y124" s="321">
        <v>6.177311725452812</v>
      </c>
      <c r="Z124" s="469">
        <v>393375</v>
      </c>
      <c r="AA124" s="151">
        <v>1614957.375</v>
      </c>
      <c r="AB124" s="169">
        <v>921884.175</v>
      </c>
      <c r="AC124" s="169">
        <v>151317.07499999995</v>
      </c>
      <c r="AD124" s="158">
        <v>225883.2</v>
      </c>
      <c r="AE124" s="174">
        <v>38498.54999999995</v>
      </c>
      <c r="AF124" s="608">
        <v>4.587919923736893</v>
      </c>
      <c r="AG124" s="531">
        <v>225883.2</v>
      </c>
      <c r="AH124" s="552">
        <v>225883.2</v>
      </c>
      <c r="AI124" s="594">
        <v>0</v>
      </c>
      <c r="AJ124" s="611" t="s">
        <v>73</v>
      </c>
      <c r="AK124" s="530">
        <v>41187</v>
      </c>
      <c r="AL124" s="573">
        <v>225883.2</v>
      </c>
      <c r="AM124" s="567">
        <v>921884.175</v>
      </c>
      <c r="AN124" s="569">
        <v>921918.7250000001</v>
      </c>
      <c r="AO124" s="567">
        <v>34.550000000046566</v>
      </c>
      <c r="AP124" s="576" t="s">
        <v>61</v>
      </c>
      <c r="AQ124" s="641">
        <v>41067</v>
      </c>
      <c r="AR124" s="646">
        <v>921918.7250000001</v>
      </c>
      <c r="AS124" s="644">
        <v>1054624.4929765211</v>
      </c>
      <c r="AT124" s="591">
        <v>132705.76797652105</v>
      </c>
      <c r="AU124" s="565">
        <v>-132705.76797652105</v>
      </c>
      <c r="AV124" s="537"/>
      <c r="AW124" s="564"/>
      <c r="AX124" s="561"/>
      <c r="AY124" s="136">
        <v>38498.54999999995</v>
      </c>
      <c r="AZ124" s="623">
        <v>38498.54999999995</v>
      </c>
      <c r="BA124" s="136">
        <v>0</v>
      </c>
      <c r="BB124" s="603"/>
      <c r="BC124" s="543"/>
      <c r="BD124" s="581"/>
      <c r="BE124" s="587">
        <v>38498.54999999995</v>
      </c>
    </row>
    <row r="125" spans="1:57" ht="15">
      <c r="A125" s="180" t="s">
        <v>36</v>
      </c>
      <c r="B125" s="149">
        <v>183825</v>
      </c>
      <c r="C125" s="146">
        <v>765631.125</v>
      </c>
      <c r="D125" s="147">
        <v>471511.125</v>
      </c>
      <c r="E125" s="148">
        <v>73530</v>
      </c>
      <c r="F125" s="146">
        <v>220590</v>
      </c>
      <c r="G125" s="148">
        <v>53309.249999999985</v>
      </c>
      <c r="H125" s="147">
        <v>26654.625</v>
      </c>
      <c r="I125" s="323">
        <v>26.760563380281692</v>
      </c>
      <c r="J125" s="168">
        <v>457200</v>
      </c>
      <c r="K125" s="160">
        <v>1904238</v>
      </c>
      <c r="L125" s="166">
        <v>1055674.8</v>
      </c>
      <c r="M125" s="305">
        <v>299923.2</v>
      </c>
      <c r="N125" s="154">
        <v>548640</v>
      </c>
      <c r="O125" s="153">
        <v>15544.799999999988</v>
      </c>
      <c r="P125" s="152">
        <v>210769.19999999995</v>
      </c>
      <c r="Q125" s="321">
        <v>66.55748444153292</v>
      </c>
      <c r="R125" s="170">
        <v>45900</v>
      </c>
      <c r="S125" s="150">
        <v>146880</v>
      </c>
      <c r="T125" s="169">
        <v>87210</v>
      </c>
      <c r="U125" s="171">
        <v>13770</v>
      </c>
      <c r="V125" s="151">
        <v>45900</v>
      </c>
      <c r="W125" s="171">
        <v>4590</v>
      </c>
      <c r="X125" s="169">
        <v>19277.999999999985</v>
      </c>
      <c r="Y125" s="321">
        <v>6.681952178185392</v>
      </c>
      <c r="Z125" s="469">
        <v>686925</v>
      </c>
      <c r="AA125" s="151">
        <v>2816749.125</v>
      </c>
      <c r="AB125" s="169">
        <v>1614395.925</v>
      </c>
      <c r="AC125" s="169">
        <v>256701.82499999995</v>
      </c>
      <c r="AD125" s="158">
        <v>387223.2</v>
      </c>
      <c r="AE125" s="174">
        <v>73444.04999999997</v>
      </c>
      <c r="AF125" s="608">
        <v>4.581133311496888</v>
      </c>
      <c r="AG125" s="531">
        <v>387223.2</v>
      </c>
      <c r="AH125" s="552">
        <v>387223.2</v>
      </c>
      <c r="AI125" s="594">
        <v>0</v>
      </c>
      <c r="AJ125" s="611" t="s">
        <v>74</v>
      </c>
      <c r="AK125" s="532"/>
      <c r="AL125" s="573">
        <v>387223.2</v>
      </c>
      <c r="AM125" s="567">
        <v>1614395.925</v>
      </c>
      <c r="AN125" s="569">
        <v>1614453.595</v>
      </c>
      <c r="AO125" s="567">
        <v>57.669999999925494</v>
      </c>
      <c r="AP125" s="576" t="s">
        <v>62</v>
      </c>
      <c r="AQ125" s="641">
        <v>41114</v>
      </c>
      <c r="AR125" s="646">
        <v>1159948.568747491</v>
      </c>
      <c r="AS125" s="644">
        <v>1295934.1974375667</v>
      </c>
      <c r="AT125" s="591">
        <v>135985.6286900756</v>
      </c>
      <c r="AU125" s="565">
        <v>318519.39756243327</v>
      </c>
      <c r="AV125" s="537"/>
      <c r="AW125" s="564"/>
      <c r="AX125" s="561"/>
      <c r="AY125" s="136">
        <v>73444.04999999997</v>
      </c>
      <c r="AZ125" s="623">
        <v>73444.04999999997</v>
      </c>
      <c r="BA125" s="136">
        <v>0</v>
      </c>
      <c r="BB125" s="603"/>
      <c r="BC125" s="543"/>
      <c r="BD125" s="581"/>
      <c r="BE125" s="587">
        <v>527949.0762525088</v>
      </c>
    </row>
    <row r="126" spans="1:57" ht="15">
      <c r="A126" s="180" t="s">
        <v>37</v>
      </c>
      <c r="B126" s="155">
        <v>169005</v>
      </c>
      <c r="C126" s="146">
        <v>703905.825</v>
      </c>
      <c r="D126" s="152">
        <v>433497.825</v>
      </c>
      <c r="E126" s="153">
        <v>67602</v>
      </c>
      <c r="F126" s="154">
        <v>202806</v>
      </c>
      <c r="G126" s="153">
        <v>49011.45</v>
      </c>
      <c r="H126" s="152">
        <v>24505.724999999977</v>
      </c>
      <c r="I126" s="323">
        <v>25.320239111870197</v>
      </c>
      <c r="J126" s="168">
        <v>449865</v>
      </c>
      <c r="K126" s="160">
        <v>1873687.725</v>
      </c>
      <c r="L126" s="166">
        <v>1038738.285</v>
      </c>
      <c r="M126" s="305">
        <v>295111.44</v>
      </c>
      <c r="N126" s="154">
        <v>539838</v>
      </c>
      <c r="O126" s="153">
        <v>15295.409999999974</v>
      </c>
      <c r="P126" s="152">
        <v>207387.765</v>
      </c>
      <c r="Q126" s="321">
        <v>67.39853476560744</v>
      </c>
      <c r="R126" s="170">
        <v>48600</v>
      </c>
      <c r="S126" s="150">
        <v>155520</v>
      </c>
      <c r="T126" s="169">
        <v>92340</v>
      </c>
      <c r="U126" s="171">
        <v>14580</v>
      </c>
      <c r="V126" s="151">
        <v>48600</v>
      </c>
      <c r="W126" s="171">
        <v>4860</v>
      </c>
      <c r="X126" s="169">
        <v>20411.999999999985</v>
      </c>
      <c r="Y126" s="321">
        <v>7.2812261225223605</v>
      </c>
      <c r="Z126" s="469">
        <v>667470</v>
      </c>
      <c r="AA126" s="151">
        <v>2733113.55</v>
      </c>
      <c r="AB126" s="169">
        <v>1564576.11</v>
      </c>
      <c r="AC126" s="169">
        <v>252305.49</v>
      </c>
      <c r="AD126" s="158">
        <v>377293.44</v>
      </c>
      <c r="AE126" s="174">
        <v>69166.85999999997</v>
      </c>
      <c r="AF126" s="608">
        <v>4.576364330981168</v>
      </c>
      <c r="AG126" s="531">
        <v>377293.44</v>
      </c>
      <c r="AH126" s="552">
        <v>377293.44</v>
      </c>
      <c r="AI126" s="594">
        <v>0</v>
      </c>
      <c r="AJ126" s="611" t="s">
        <v>75</v>
      </c>
      <c r="AK126" s="530">
        <v>41204</v>
      </c>
      <c r="AL126" s="573">
        <v>377293.44</v>
      </c>
      <c r="AM126" s="567">
        <v>1564576.11</v>
      </c>
      <c r="AN126" s="569">
        <v>1564633.78</v>
      </c>
      <c r="AO126" s="567">
        <v>57.669999999925494</v>
      </c>
      <c r="AP126" s="555" t="s">
        <v>63</v>
      </c>
      <c r="AQ126" s="642">
        <v>41134</v>
      </c>
      <c r="AR126" s="646">
        <v>1334134.3541178794</v>
      </c>
      <c r="AS126" s="644">
        <v>1490965.6203785844</v>
      </c>
      <c r="AT126" s="591">
        <v>156831.26626070496</v>
      </c>
      <c r="AU126" s="565">
        <v>73668.15962141566</v>
      </c>
      <c r="AV126" s="537"/>
      <c r="AW126" s="564"/>
      <c r="AX126" s="561"/>
      <c r="AY126" s="136">
        <v>69166.85999999997</v>
      </c>
      <c r="AZ126" s="623">
        <v>69166.85999999997</v>
      </c>
      <c r="BA126" s="136">
        <v>0</v>
      </c>
      <c r="BB126" s="603"/>
      <c r="BC126" s="543"/>
      <c r="BD126" s="581"/>
      <c r="BE126" s="587">
        <v>299666.2858821206</v>
      </c>
    </row>
    <row r="127" spans="1:59" ht="15">
      <c r="A127" s="180" t="s">
        <v>38</v>
      </c>
      <c r="B127" s="155">
        <v>137555</v>
      </c>
      <c r="C127" s="146">
        <v>572916.575</v>
      </c>
      <c r="D127" s="157">
        <v>352828.575</v>
      </c>
      <c r="E127" s="158">
        <v>55022</v>
      </c>
      <c r="F127" s="156">
        <v>165066</v>
      </c>
      <c r="G127" s="158">
        <v>39890.95</v>
      </c>
      <c r="H127" s="157">
        <v>19945.474999999977</v>
      </c>
      <c r="I127" s="323">
        <v>21.34952661803508</v>
      </c>
      <c r="J127" s="155">
        <v>458865</v>
      </c>
      <c r="K127" s="160">
        <v>1911172.725</v>
      </c>
      <c r="L127" s="166">
        <v>1059519.2850000001</v>
      </c>
      <c r="M127" s="304">
        <v>301015.44</v>
      </c>
      <c r="N127" s="175">
        <v>550638</v>
      </c>
      <c r="O127" s="174">
        <v>15601.409999999974</v>
      </c>
      <c r="P127" s="173">
        <v>211536.7649999999</v>
      </c>
      <c r="Q127" s="321">
        <v>71.21915256867919</v>
      </c>
      <c r="R127" s="176">
        <v>47880</v>
      </c>
      <c r="S127" s="150">
        <v>153216</v>
      </c>
      <c r="T127" s="157">
        <v>90972</v>
      </c>
      <c r="U127" s="158">
        <v>14364</v>
      </c>
      <c r="V127" s="156">
        <v>47880</v>
      </c>
      <c r="W127" s="158">
        <v>4788</v>
      </c>
      <c r="X127" s="157">
        <v>20109.59999999999</v>
      </c>
      <c r="Y127" s="321">
        <v>7.431320813285736</v>
      </c>
      <c r="Z127" s="155">
        <v>644300</v>
      </c>
      <c r="AA127" s="156">
        <v>2637305.3</v>
      </c>
      <c r="AB127" s="157">
        <v>1503319.86</v>
      </c>
      <c r="AC127" s="157">
        <v>251591.83999999985</v>
      </c>
      <c r="AD127" s="158">
        <v>370401.44</v>
      </c>
      <c r="AE127" s="174">
        <v>60280.35999999997</v>
      </c>
      <c r="AF127" s="608">
        <v>4.577335868384293</v>
      </c>
      <c r="AG127" s="531">
        <v>370401.44</v>
      </c>
      <c r="AH127" s="552">
        <v>370401.44</v>
      </c>
      <c r="AI127" s="594">
        <v>0</v>
      </c>
      <c r="AJ127" s="611" t="s">
        <v>265</v>
      </c>
      <c r="AK127" s="533"/>
      <c r="AL127" s="573">
        <v>370401.44</v>
      </c>
      <c r="AM127" s="567">
        <v>1503319.86</v>
      </c>
      <c r="AN127" s="569">
        <v>1503399.74</v>
      </c>
      <c r="AO127" s="567">
        <v>79.87999999988824</v>
      </c>
      <c r="AP127" s="577" t="s">
        <v>79</v>
      </c>
      <c r="AQ127" s="642">
        <v>41166</v>
      </c>
      <c r="AR127" s="646">
        <v>1522956.31</v>
      </c>
      <c r="AS127" s="644">
        <v>1522738.668681904</v>
      </c>
      <c r="AT127" s="591">
        <v>-217.6413180960808</v>
      </c>
      <c r="AU127" s="565">
        <v>-19636.449999999953</v>
      </c>
      <c r="AV127" s="537"/>
      <c r="AW127" s="564"/>
      <c r="AX127" s="561"/>
      <c r="AY127" s="136">
        <v>60280.35999999997</v>
      </c>
      <c r="AZ127" s="623">
        <v>60280.35999999997</v>
      </c>
      <c r="BA127" s="136">
        <v>0</v>
      </c>
      <c r="BB127" s="603"/>
      <c r="BC127" s="543"/>
      <c r="BD127" s="581"/>
      <c r="BE127" s="587">
        <v>40643.91000000002</v>
      </c>
      <c r="BF127" s="773"/>
      <c r="BG127" s="58"/>
    </row>
    <row r="128" spans="1:57" ht="15">
      <c r="A128" s="180" t="s">
        <v>39</v>
      </c>
      <c r="B128" s="155">
        <v>131965</v>
      </c>
      <c r="C128" s="156">
        <v>659825</v>
      </c>
      <c r="D128" s="157">
        <v>357625.15</v>
      </c>
      <c r="E128" s="158">
        <v>91055.84999999999</v>
      </c>
      <c r="F128" s="156">
        <v>211144</v>
      </c>
      <c r="G128" s="158">
        <v>0</v>
      </c>
      <c r="H128" s="157">
        <v>0</v>
      </c>
      <c r="I128" s="323">
        <v>21.233135694805352</v>
      </c>
      <c r="J128" s="155">
        <v>435000</v>
      </c>
      <c r="K128" s="172">
        <v>2201100</v>
      </c>
      <c r="L128" s="166">
        <v>1204950</v>
      </c>
      <c r="M128" s="304">
        <v>300150</v>
      </c>
      <c r="N128" s="175">
        <v>696000</v>
      </c>
      <c r="O128" s="174">
        <v>0</v>
      </c>
      <c r="P128" s="173">
        <v>0</v>
      </c>
      <c r="Q128" s="321">
        <v>69.99139186329957</v>
      </c>
      <c r="R128" s="176">
        <v>54540</v>
      </c>
      <c r="S128" s="156">
        <v>219250.8</v>
      </c>
      <c r="T128" s="157">
        <v>126532.79999999999</v>
      </c>
      <c r="U128" s="158">
        <v>21816</v>
      </c>
      <c r="V128" s="156">
        <v>70902</v>
      </c>
      <c r="W128" s="158">
        <v>0</v>
      </c>
      <c r="X128" s="157">
        <v>0</v>
      </c>
      <c r="Y128" s="321">
        <v>8.775472441895078</v>
      </c>
      <c r="Z128" s="155">
        <v>621505</v>
      </c>
      <c r="AA128" s="156">
        <v>3080175.8</v>
      </c>
      <c r="AB128" s="157">
        <v>1689107.95</v>
      </c>
      <c r="AC128" s="157">
        <v>0</v>
      </c>
      <c r="AD128" s="158">
        <v>413021.85</v>
      </c>
      <c r="AE128" s="174">
        <v>0</v>
      </c>
      <c r="AF128" s="608">
        <v>4.955995205187408</v>
      </c>
      <c r="AG128" s="531">
        <v>413021.85</v>
      </c>
      <c r="AH128" s="552">
        <v>413021.85</v>
      </c>
      <c r="AI128" s="594">
        <v>0</v>
      </c>
      <c r="AJ128" s="611" t="s">
        <v>268</v>
      </c>
      <c r="AK128" s="533"/>
      <c r="AL128" s="573">
        <v>413021.85</v>
      </c>
      <c r="AM128" s="567">
        <v>1689107.95</v>
      </c>
      <c r="AN128" s="569">
        <v>1689107.95</v>
      </c>
      <c r="AO128" s="567">
        <v>0</v>
      </c>
      <c r="AP128" s="537"/>
      <c r="AQ128" s="564"/>
      <c r="AR128" s="646">
        <v>1561980.82</v>
      </c>
      <c r="AS128" s="644">
        <v>1563994.3864161395</v>
      </c>
      <c r="AT128" s="591">
        <v>2013.5664161394816</v>
      </c>
      <c r="AU128" s="565">
        <v>127127.12999999989</v>
      </c>
      <c r="AV128" s="537"/>
      <c r="AW128" s="564"/>
      <c r="AX128" s="561"/>
      <c r="AY128" s="136">
        <v>0</v>
      </c>
      <c r="AZ128" s="605">
        <v>0</v>
      </c>
      <c r="BA128" s="136">
        <v>0</v>
      </c>
      <c r="BB128" s="603"/>
      <c r="BC128" s="543"/>
      <c r="BD128" s="581"/>
      <c r="BE128" s="587">
        <v>127127.12999999989</v>
      </c>
    </row>
    <row r="129" spans="1:57" ht="15">
      <c r="A129" s="180" t="s">
        <v>40</v>
      </c>
      <c r="B129" s="155">
        <v>118180</v>
      </c>
      <c r="C129" s="156">
        <v>590900</v>
      </c>
      <c r="D129" s="157">
        <v>320267.8</v>
      </c>
      <c r="E129" s="158">
        <v>81544.2</v>
      </c>
      <c r="F129" s="156">
        <v>189088</v>
      </c>
      <c r="G129" s="158">
        <v>0</v>
      </c>
      <c r="H129" s="157">
        <v>0</v>
      </c>
      <c r="I129" s="323">
        <v>21.528372347208308</v>
      </c>
      <c r="J129" s="155">
        <v>372090</v>
      </c>
      <c r="K129" s="172">
        <v>1882775.4000000001</v>
      </c>
      <c r="L129" s="166">
        <v>1030689.3</v>
      </c>
      <c r="M129" s="304">
        <v>256742.09999999998</v>
      </c>
      <c r="N129" s="175">
        <v>595344</v>
      </c>
      <c r="O129" s="174">
        <v>0</v>
      </c>
      <c r="P129" s="173">
        <v>0</v>
      </c>
      <c r="Q129" s="321">
        <v>67.78212951999271</v>
      </c>
      <c r="R129" s="176">
        <v>58680</v>
      </c>
      <c r="S129" s="156">
        <v>235893.59999999998</v>
      </c>
      <c r="T129" s="157">
        <v>136137.59999999998</v>
      </c>
      <c r="U129" s="158">
        <v>23472</v>
      </c>
      <c r="V129" s="156">
        <v>76284</v>
      </c>
      <c r="W129" s="158">
        <v>0</v>
      </c>
      <c r="X129" s="157">
        <v>0</v>
      </c>
      <c r="Y129" s="321">
        <v>10.68949813279898</v>
      </c>
      <c r="Z129" s="155">
        <v>548950</v>
      </c>
      <c r="AA129" s="156">
        <v>2709569.0000000005</v>
      </c>
      <c r="AB129" s="157">
        <v>1487094.7000000002</v>
      </c>
      <c r="AC129" s="157">
        <v>0</v>
      </c>
      <c r="AD129" s="158">
        <v>361758.3</v>
      </c>
      <c r="AE129" s="174">
        <v>0</v>
      </c>
      <c r="AF129" s="608">
        <v>4.935912196010566</v>
      </c>
      <c r="AG129" s="531">
        <v>361758.3</v>
      </c>
      <c r="AH129" s="552">
        <v>361758.3</v>
      </c>
      <c r="AI129" s="594">
        <v>0</v>
      </c>
      <c r="AJ129" s="611" t="s">
        <v>269</v>
      </c>
      <c r="AK129" s="533"/>
      <c r="AL129" s="573">
        <v>361758.3</v>
      </c>
      <c r="AM129" s="567">
        <v>1487094.7000000002</v>
      </c>
      <c r="AN129" s="569">
        <v>1487094.7</v>
      </c>
      <c r="AO129" s="567">
        <v>0</v>
      </c>
      <c r="AP129" s="537"/>
      <c r="AQ129" s="564"/>
      <c r="AR129" s="646">
        <v>1379228.8</v>
      </c>
      <c r="AS129" s="644">
        <v>1463051.8277712187</v>
      </c>
      <c r="AT129" s="591">
        <v>83823.02777121868</v>
      </c>
      <c r="AU129" s="565">
        <v>107865.90000000014</v>
      </c>
      <c r="AV129" s="537"/>
      <c r="AW129" s="564"/>
      <c r="AX129" s="561"/>
      <c r="AY129" s="136">
        <v>0</v>
      </c>
      <c r="AZ129" s="605">
        <v>0</v>
      </c>
      <c r="BA129" s="136">
        <v>0</v>
      </c>
      <c r="BB129" s="603"/>
      <c r="BC129" s="543"/>
      <c r="BD129" s="581"/>
      <c r="BE129" s="587"/>
    </row>
    <row r="130" spans="1:57" ht="15">
      <c r="A130" s="181" t="s">
        <v>41</v>
      </c>
      <c r="B130" s="442">
        <v>93105</v>
      </c>
      <c r="C130" s="156">
        <v>465525</v>
      </c>
      <c r="D130" s="157">
        <v>252314.55</v>
      </c>
      <c r="E130" s="158">
        <v>64242.45</v>
      </c>
      <c r="F130" s="156">
        <v>148968</v>
      </c>
      <c r="G130" s="158">
        <v>0</v>
      </c>
      <c r="H130" s="157">
        <v>0</v>
      </c>
      <c r="I130" s="323">
        <v>22.868616903691695</v>
      </c>
      <c r="J130" s="155">
        <v>279465</v>
      </c>
      <c r="K130" s="172">
        <v>1414092.9000000001</v>
      </c>
      <c r="L130" s="166">
        <v>774118.05</v>
      </c>
      <c r="M130" s="304">
        <v>192830.84999999998</v>
      </c>
      <c r="N130" s="175">
        <v>447144</v>
      </c>
      <c r="O130" s="174">
        <v>0</v>
      </c>
      <c r="P130" s="173">
        <v>0</v>
      </c>
      <c r="Q130" s="321">
        <v>68.64269397980989</v>
      </c>
      <c r="R130" s="176">
        <v>34560</v>
      </c>
      <c r="S130" s="156">
        <v>138931.19999999998</v>
      </c>
      <c r="T130" s="157">
        <v>80179.2</v>
      </c>
      <c r="U130" s="158">
        <v>13824</v>
      </c>
      <c r="V130" s="156">
        <v>44928</v>
      </c>
      <c r="W130" s="158">
        <v>0</v>
      </c>
      <c r="X130" s="157">
        <v>0</v>
      </c>
      <c r="Y130" s="322">
        <v>8.488689116498415</v>
      </c>
      <c r="Z130" s="155">
        <v>407130</v>
      </c>
      <c r="AA130" s="156">
        <v>2018549.1</v>
      </c>
      <c r="AB130" s="157">
        <v>1106611.8</v>
      </c>
      <c r="AC130" s="157">
        <v>0</v>
      </c>
      <c r="AD130" s="158">
        <v>270897.3</v>
      </c>
      <c r="AE130" s="174">
        <v>0</v>
      </c>
      <c r="AF130" s="608">
        <v>4.957996463046202</v>
      </c>
      <c r="AG130" s="531">
        <v>270897.3</v>
      </c>
      <c r="AH130" s="552">
        <v>270897.3</v>
      </c>
      <c r="AI130" s="594">
        <v>0</v>
      </c>
      <c r="AJ130" s="611" t="s">
        <v>264</v>
      </c>
      <c r="AK130" s="533"/>
      <c r="AL130" s="573">
        <v>270897.3</v>
      </c>
      <c r="AM130" s="567">
        <v>1106611.8</v>
      </c>
      <c r="AN130" s="569">
        <v>1106611.8</v>
      </c>
      <c r="AO130" s="567">
        <v>0</v>
      </c>
      <c r="AP130" s="537"/>
      <c r="AQ130" s="564"/>
      <c r="AR130" s="646">
        <v>1187322.48</v>
      </c>
      <c r="AS130" s="644">
        <v>1106611.8</v>
      </c>
      <c r="AT130" s="591">
        <v>-80710.67999999993</v>
      </c>
      <c r="AU130" s="565">
        <v>-80710.67999999993</v>
      </c>
      <c r="AV130" s="537"/>
      <c r="AW130" s="564"/>
      <c r="AX130" s="561"/>
      <c r="AY130" s="136">
        <v>0</v>
      </c>
      <c r="AZ130" s="605">
        <v>0</v>
      </c>
      <c r="BA130" s="136">
        <v>0</v>
      </c>
      <c r="BB130" s="603"/>
      <c r="BC130" s="543"/>
      <c r="BD130" s="581"/>
      <c r="BE130" s="587"/>
    </row>
    <row r="131" spans="1:57" ht="15">
      <c r="A131" s="181" t="s">
        <v>42</v>
      </c>
      <c r="B131" s="442">
        <v>97480</v>
      </c>
      <c r="C131" s="156">
        <v>487400</v>
      </c>
      <c r="D131" s="157">
        <v>264170.8</v>
      </c>
      <c r="E131" s="158">
        <v>67261.2</v>
      </c>
      <c r="F131" s="156">
        <v>155968</v>
      </c>
      <c r="G131" s="158">
        <v>0</v>
      </c>
      <c r="H131" s="157">
        <v>0</v>
      </c>
      <c r="I131" s="323">
        <v>23.79011592434411</v>
      </c>
      <c r="J131" s="155">
        <v>275370</v>
      </c>
      <c r="K131" s="172">
        <v>1393372.2000000002</v>
      </c>
      <c r="L131" s="166">
        <v>762774.9</v>
      </c>
      <c r="M131" s="304">
        <v>190005.3</v>
      </c>
      <c r="N131" s="175">
        <v>440592</v>
      </c>
      <c r="O131" s="174">
        <v>0</v>
      </c>
      <c r="P131" s="173">
        <v>0</v>
      </c>
      <c r="Q131" s="321">
        <v>67.20439292251373</v>
      </c>
      <c r="R131" s="176">
        <v>36900</v>
      </c>
      <c r="S131" s="156">
        <v>148337.99999999997</v>
      </c>
      <c r="T131" s="157">
        <v>85608</v>
      </c>
      <c r="U131" s="158">
        <v>14760</v>
      </c>
      <c r="V131" s="156">
        <v>47970</v>
      </c>
      <c r="W131" s="158">
        <v>0</v>
      </c>
      <c r="X131" s="157">
        <v>0</v>
      </c>
      <c r="Y131" s="322">
        <v>9.00549115314216</v>
      </c>
      <c r="Z131" s="155">
        <v>409750</v>
      </c>
      <c r="AA131" s="156">
        <v>2029110.2000000002</v>
      </c>
      <c r="AB131" s="157">
        <v>1112553.7</v>
      </c>
      <c r="AC131" s="157">
        <v>0</v>
      </c>
      <c r="AD131" s="158">
        <v>272026.5</v>
      </c>
      <c r="AE131" s="174">
        <v>0</v>
      </c>
      <c r="AF131" s="608">
        <v>4.952068822452715</v>
      </c>
      <c r="AG131" s="531">
        <v>272026.5</v>
      </c>
      <c r="AH131" s="552">
        <v>272026.5</v>
      </c>
      <c r="AI131" s="594">
        <v>0</v>
      </c>
      <c r="AJ131" s="611" t="s">
        <v>271</v>
      </c>
      <c r="AK131" s="533"/>
      <c r="AL131" s="573">
        <v>272026.5</v>
      </c>
      <c r="AM131" s="567">
        <v>1112553.7</v>
      </c>
      <c r="AN131" s="569">
        <v>1112553.7</v>
      </c>
      <c r="AO131" s="567">
        <v>0</v>
      </c>
      <c r="AP131" s="537"/>
      <c r="AQ131" s="564"/>
      <c r="AR131" s="646">
        <v>976717.6</v>
      </c>
      <c r="AS131" s="644">
        <v>979622.8356931588</v>
      </c>
      <c r="AT131" s="591">
        <v>2905.2356931588147</v>
      </c>
      <c r="AU131" s="565">
        <v>135836.09999999998</v>
      </c>
      <c r="AV131" s="537"/>
      <c r="AW131" s="564"/>
      <c r="AX131" s="561"/>
      <c r="AY131" s="543"/>
      <c r="AZ131" s="606"/>
      <c r="BA131" s="543"/>
      <c r="BB131" s="603"/>
      <c r="BC131" s="543"/>
      <c r="BD131" s="581"/>
      <c r="BE131" s="587"/>
    </row>
    <row r="132" spans="1:57" ht="15">
      <c r="A132" s="181" t="s">
        <v>43</v>
      </c>
      <c r="B132" s="442">
        <v>96735</v>
      </c>
      <c r="C132" s="156">
        <v>483675</v>
      </c>
      <c r="D132" s="157">
        <v>262151.85</v>
      </c>
      <c r="E132" s="158">
        <v>66747.15</v>
      </c>
      <c r="F132" s="156">
        <v>154776</v>
      </c>
      <c r="G132" s="158">
        <v>0</v>
      </c>
      <c r="H132" s="157">
        <v>0</v>
      </c>
      <c r="I132" s="323">
        <v>24.666284184356474</v>
      </c>
      <c r="J132" s="155">
        <v>259800</v>
      </c>
      <c r="K132" s="172">
        <v>1314588.0000000002</v>
      </c>
      <c r="L132" s="177">
        <v>719646</v>
      </c>
      <c r="M132" s="304">
        <v>179262</v>
      </c>
      <c r="N132" s="175">
        <v>415680</v>
      </c>
      <c r="O132" s="174">
        <v>0</v>
      </c>
      <c r="P132" s="173">
        <v>0</v>
      </c>
      <c r="Q132" s="321">
        <v>66.2459361254542</v>
      </c>
      <c r="R132" s="176">
        <v>35640</v>
      </c>
      <c r="S132" s="156">
        <v>143272.8</v>
      </c>
      <c r="T132" s="157">
        <v>82684.79999999999</v>
      </c>
      <c r="U132" s="158">
        <v>14256</v>
      </c>
      <c r="V132" s="156">
        <v>46332</v>
      </c>
      <c r="W132" s="158">
        <v>0</v>
      </c>
      <c r="X132" s="157">
        <v>0</v>
      </c>
      <c r="Y132" s="322">
        <v>9.087779690189329</v>
      </c>
      <c r="Z132" s="155">
        <v>392175</v>
      </c>
      <c r="AA132" s="156">
        <v>1941535.8000000003</v>
      </c>
      <c r="AB132" s="157">
        <v>1064482.65</v>
      </c>
      <c r="AC132" s="157">
        <v>0</v>
      </c>
      <c r="AD132" s="158">
        <v>260265.15</v>
      </c>
      <c r="AE132" s="174">
        <v>0</v>
      </c>
      <c r="AF132" s="608">
        <v>4.950687320711418</v>
      </c>
      <c r="AG132" s="618">
        <v>260265.15</v>
      </c>
      <c r="AH132" s="552">
        <v>260265.15</v>
      </c>
      <c r="AI132" s="598">
        <v>0</v>
      </c>
      <c r="AJ132" s="611" t="s">
        <v>282</v>
      </c>
      <c r="AK132" s="533"/>
      <c r="AL132" s="771">
        <v>260265.15</v>
      </c>
      <c r="AM132" s="540">
        <v>1064482.65</v>
      </c>
      <c r="AN132" s="570">
        <v>1064482.65</v>
      </c>
      <c r="AO132" s="540">
        <v>0</v>
      </c>
      <c r="AP132" s="539"/>
      <c r="AQ132" s="570"/>
      <c r="AR132" s="646">
        <v>872839.65</v>
      </c>
      <c r="AS132" s="644">
        <v>877509.9839144131</v>
      </c>
      <c r="AT132" s="591">
        <v>4670.333914413117</v>
      </c>
      <c r="AU132" s="565">
        <v>191642.99999999988</v>
      </c>
      <c r="AV132" s="539"/>
      <c r="AW132" s="570"/>
      <c r="AX132" s="562"/>
      <c r="AY132" s="544"/>
      <c r="AZ132" s="599"/>
      <c r="BA132" s="544"/>
      <c r="BB132" s="600"/>
      <c r="BC132" s="544"/>
      <c r="BD132" s="582"/>
      <c r="BE132" s="588"/>
    </row>
    <row r="133" spans="1:57" ht="15.75" thickBot="1">
      <c r="A133" s="122" t="s">
        <v>23</v>
      </c>
      <c r="B133" s="123">
        <v>1360195</v>
      </c>
      <c r="C133" s="124">
        <v>6113995.45</v>
      </c>
      <c r="D133" s="130">
        <v>3566832.5999999996</v>
      </c>
      <c r="E133" s="129">
        <v>699942.85</v>
      </c>
      <c r="F133" s="124">
        <v>1847220</v>
      </c>
      <c r="G133" s="129">
        <v>238591.7</v>
      </c>
      <c r="H133" s="130">
        <v>119295.84999999992</v>
      </c>
      <c r="I133" s="724">
        <v>23.875546824667953</v>
      </c>
      <c r="J133" s="725">
        <v>3916095</v>
      </c>
      <c r="K133" s="124">
        <v>17761979.55</v>
      </c>
      <c r="L133" s="307">
        <v>9789878.58</v>
      </c>
      <c r="M133" s="726">
        <v>2624096.9699999997</v>
      </c>
      <c r="N133" s="727">
        <v>5348004</v>
      </c>
      <c r="O133" s="726">
        <v>78008.57999999986</v>
      </c>
      <c r="P133" s="728">
        <v>1057704.5699999998</v>
      </c>
      <c r="Q133" s="724">
        <v>68.34086050980413</v>
      </c>
      <c r="R133" s="725">
        <v>449100</v>
      </c>
      <c r="S133" s="124">
        <v>1617782.4</v>
      </c>
      <c r="T133" s="728">
        <v>945824.3999999999</v>
      </c>
      <c r="U133" s="726">
        <v>156762</v>
      </c>
      <c r="V133" s="124">
        <v>515196</v>
      </c>
      <c r="W133" s="129">
        <v>22878</v>
      </c>
      <c r="X133" s="728">
        <v>96087.59999999995</v>
      </c>
      <c r="Y133" s="724">
        <v>7.783592665527924</v>
      </c>
      <c r="Z133" s="124">
        <v>5725390</v>
      </c>
      <c r="AA133" s="727">
        <v>25493757.400000002</v>
      </c>
      <c r="AB133" s="728">
        <v>14302535.58</v>
      </c>
      <c r="AC133" s="728">
        <v>1273088.0199999996</v>
      </c>
      <c r="AD133" s="726">
        <v>3480801.8199999994</v>
      </c>
      <c r="AE133" s="726">
        <v>339478.27999999985</v>
      </c>
      <c r="AF133" s="292"/>
      <c r="AG133" s="625">
        <v>3480801.8199999994</v>
      </c>
      <c r="AH133" s="625">
        <v>3480801.8199999994</v>
      </c>
      <c r="AI133" s="387"/>
      <c r="AJ133" s="390"/>
      <c r="AK133" s="389"/>
      <c r="AL133" s="772">
        <v>3480801.8199999994</v>
      </c>
      <c r="AM133" s="672">
        <v>14302535.58</v>
      </c>
      <c r="AN133" s="672">
        <v>14302846.97</v>
      </c>
      <c r="AO133" s="538"/>
      <c r="AP133" s="541"/>
      <c r="AQ133" s="541"/>
      <c r="AR133" s="584">
        <v>13003803.172865372</v>
      </c>
      <c r="AS133" s="584">
        <v>13614373.63557025</v>
      </c>
      <c r="AT133" s="584">
        <v>610570.4627048797</v>
      </c>
      <c r="AU133" s="584">
        <v>700877.296906584</v>
      </c>
      <c r="AV133" s="541"/>
      <c r="AW133" s="541"/>
      <c r="AX133" s="541"/>
      <c r="AY133" s="544"/>
      <c r="AZ133" s="624">
        <v>339478.27999999985</v>
      </c>
      <c r="BA133" s="544"/>
      <c r="BB133" s="545"/>
      <c r="BC133" s="545"/>
      <c r="BD133" s="585">
        <v>0</v>
      </c>
      <c r="BE133" s="589">
        <v>1264164.427134629</v>
      </c>
    </row>
    <row r="134" spans="3:52" ht="15.75" thickBot="1">
      <c r="C134" s="723"/>
      <c r="AA134" s="723">
        <v>1087731.19</v>
      </c>
      <c r="AK134" s="619"/>
      <c r="AL134" s="620"/>
      <c r="AN134" s="578" t="s">
        <v>251</v>
      </c>
      <c r="AO134" s="579">
        <v>174.4299999999348</v>
      </c>
      <c r="AZ134" s="714" t="s">
        <v>311</v>
      </c>
    </row>
    <row r="135" spans="2:53" ht="15">
      <c r="B135" s="303"/>
      <c r="D135" s="522"/>
      <c r="E135" s="94"/>
      <c r="F135" s="626">
        <v>0.1745312430551587</v>
      </c>
      <c r="G135" s="94"/>
      <c r="H135" s="94"/>
      <c r="K135" s="303"/>
      <c r="Z135" s="303"/>
      <c r="AA135" s="303">
        <v>179486.24</v>
      </c>
      <c r="AB135" s="94">
        <v>1324747.7999999998</v>
      </c>
      <c r="AD135" s="94">
        <v>1416078.8900000001</v>
      </c>
      <c r="AH135" s="94">
        <v>2327712.7499999995</v>
      </c>
      <c r="AI135" s="94">
        <v>943808.5337241127</v>
      </c>
      <c r="AJ135" s="94">
        <v>3271521.2837241124</v>
      </c>
      <c r="AL135" s="524"/>
      <c r="AM135" s="524"/>
      <c r="AW135" s="94"/>
      <c r="AX135" s="94"/>
      <c r="AY135" s="94"/>
      <c r="AZ135" s="94"/>
      <c r="BA135" s="94"/>
    </row>
    <row r="136" spans="3:39" ht="15">
      <c r="C136">
        <v>97480</v>
      </c>
      <c r="D136">
        <v>275370</v>
      </c>
      <c r="E136" s="94"/>
      <c r="F136" s="94"/>
      <c r="G136" s="94"/>
      <c r="H136" s="94"/>
      <c r="L136" s="863"/>
      <c r="M136" s="863"/>
      <c r="N136" s="863"/>
      <c r="O136" s="863"/>
      <c r="P136" s="863"/>
      <c r="Q136" s="863"/>
      <c r="R136" s="863"/>
      <c r="S136" s="863"/>
      <c r="AA136" s="94">
        <v>1267217.43</v>
      </c>
      <c r="AD136" t="s">
        <v>263</v>
      </c>
      <c r="AH136" s="94">
        <v>3820280.099999999</v>
      </c>
      <c r="AI136" s="94">
        <v>700877.296906584</v>
      </c>
      <c r="AJ136" s="94">
        <v>4521157.396906583</v>
      </c>
      <c r="AK136" s="94">
        <v>7792678.680630695</v>
      </c>
      <c r="AL136">
        <v>4555540.06</v>
      </c>
      <c r="AM136" s="626">
        <v>0.7105938215875761</v>
      </c>
    </row>
    <row r="137" spans="3:13" ht="26.25">
      <c r="C137" s="128"/>
      <c r="D137" s="808"/>
      <c r="E137" s="808"/>
      <c r="F137" s="808"/>
      <c r="G137" s="808"/>
      <c r="H137" s="808"/>
      <c r="I137" s="808"/>
      <c r="J137" s="808"/>
      <c r="K137" s="808"/>
      <c r="L137" s="808"/>
      <c r="M137" s="808"/>
    </row>
    <row r="138" spans="1:3" ht="15">
      <c r="A138" s="860" t="s">
        <v>165</v>
      </c>
      <c r="B138" s="860"/>
      <c r="C138" s="380">
        <v>1.1574735598657109</v>
      </c>
    </row>
    <row r="139" spans="1:3" ht="15">
      <c r="A139" s="804" t="s">
        <v>164</v>
      </c>
      <c r="B139" s="804"/>
      <c r="C139" s="308">
        <v>1.16</v>
      </c>
    </row>
  </sheetData>
  <sheetProtection/>
  <mergeCells count="120">
    <mergeCell ref="AB119:AC119"/>
    <mergeCell ref="AD101:AE101"/>
    <mergeCell ref="AF101:AF102"/>
    <mergeCell ref="B101:H101"/>
    <mergeCell ref="AD119:AE119"/>
    <mergeCell ref="AF119:AF120"/>
    <mergeCell ref="AR9:AV9"/>
    <mergeCell ref="AH6:AH7"/>
    <mergeCell ref="W6:W7"/>
    <mergeCell ref="L6:L7"/>
    <mergeCell ref="A118:AF118"/>
    <mergeCell ref="AB101:AC101"/>
    <mergeCell ref="AF54:AF55"/>
    <mergeCell ref="H6:J6"/>
    <mergeCell ref="AH4:AQ5"/>
    <mergeCell ref="W4:AF5"/>
    <mergeCell ref="F4:G4"/>
    <mergeCell ref="L4:U5"/>
    <mergeCell ref="N62:Q62"/>
    <mergeCell ref="AF81:AH81"/>
    <mergeCell ref="G62:M62"/>
    <mergeCell ref="G61:M61"/>
    <mergeCell ref="G44:M44"/>
    <mergeCell ref="N45:Q45"/>
    <mergeCell ref="U54:W54"/>
    <mergeCell ref="X54:Z54"/>
    <mergeCell ref="AA54:AC54"/>
    <mergeCell ref="AF51:AZ52"/>
    <mergeCell ref="Z101:AA101"/>
    <mergeCell ref="D4:E4"/>
    <mergeCell ref="B4:C4"/>
    <mergeCell ref="W80:Y80"/>
    <mergeCell ref="Z80:AB80"/>
    <mergeCell ref="AF80:AN80"/>
    <mergeCell ref="AF53:AK53"/>
    <mergeCell ref="U53:AC53"/>
    <mergeCell ref="W22:W23"/>
    <mergeCell ref="N95:O95"/>
    <mergeCell ref="A43:D45"/>
    <mergeCell ref="A22:A23"/>
    <mergeCell ref="G45:M45"/>
    <mergeCell ref="AT25:AV25"/>
    <mergeCell ref="AV39:AV40"/>
    <mergeCell ref="AS39:AS40"/>
    <mergeCell ref="AT39:AT40"/>
    <mergeCell ref="AU39:AU40"/>
    <mergeCell ref="Z22:AC24"/>
    <mergeCell ref="AI22:AI23"/>
    <mergeCell ref="Z119:AA119"/>
    <mergeCell ref="AY39:AY40"/>
    <mergeCell ref="AK22:AN24"/>
    <mergeCell ref="AH22:AH23"/>
    <mergeCell ref="AW39:AW40"/>
    <mergeCell ref="AW25:AY25"/>
    <mergeCell ref="AS23:AY24"/>
    <mergeCell ref="AS25:AS26"/>
    <mergeCell ref="AX39:AX40"/>
    <mergeCell ref="A100:AF100"/>
    <mergeCell ref="A138:B138"/>
    <mergeCell ref="J101:P101"/>
    <mergeCell ref="R101:X101"/>
    <mergeCell ref="R119:X119"/>
    <mergeCell ref="J119:P119"/>
    <mergeCell ref="L136:S136"/>
    <mergeCell ref="BE119:BE120"/>
    <mergeCell ref="AG118:BE118"/>
    <mergeCell ref="AM119:AX119"/>
    <mergeCell ref="AG119:AL119"/>
    <mergeCell ref="AX53:AX55"/>
    <mergeCell ref="AG54:AG55"/>
    <mergeCell ref="AL54:AL55"/>
    <mergeCell ref="AI54:AI55"/>
    <mergeCell ref="AJ54:AJ55"/>
    <mergeCell ref="AK54:AK55"/>
    <mergeCell ref="AH2:AQ3"/>
    <mergeCell ref="W2:AF3"/>
    <mergeCell ref="L2:U3"/>
    <mergeCell ref="B2:G3"/>
    <mergeCell ref="AG100:BE100"/>
    <mergeCell ref="AG101:AL101"/>
    <mergeCell ref="AM101:AX101"/>
    <mergeCell ref="AY101:BD101"/>
    <mergeCell ref="AN54:AN55"/>
    <mergeCell ref="AH54:AH55"/>
    <mergeCell ref="A139:B139"/>
    <mergeCell ref="AF82:AF84"/>
    <mergeCell ref="AG82:AG84"/>
    <mergeCell ref="AH82:AH84"/>
    <mergeCell ref="AI82:AI84"/>
    <mergeCell ref="AP82:BC82"/>
    <mergeCell ref="AP83:AP84"/>
    <mergeCell ref="D137:M137"/>
    <mergeCell ref="B119:H119"/>
    <mergeCell ref="AY119:BD119"/>
    <mergeCell ref="AK82:AK84"/>
    <mergeCell ref="AL82:AL84"/>
    <mergeCell ref="AM82:AM84"/>
    <mergeCell ref="AJ82:AJ84"/>
    <mergeCell ref="AN82:AN84"/>
    <mergeCell ref="BE101:BE102"/>
    <mergeCell ref="BA53:BA55"/>
    <mergeCell ref="BB53:BB55"/>
    <mergeCell ref="AL53:AQ53"/>
    <mergeCell ref="AO54:AO55"/>
    <mergeCell ref="AP54:AP55"/>
    <mergeCell ref="AI81:AK81"/>
    <mergeCell ref="AL81:AN81"/>
    <mergeCell ref="AM54:AM55"/>
    <mergeCell ref="AQ54:AQ55"/>
    <mergeCell ref="AS54:AS55"/>
    <mergeCell ref="BD53:BD55"/>
    <mergeCell ref="AR53:AW53"/>
    <mergeCell ref="AR54:AR55"/>
    <mergeCell ref="AT54:AT55"/>
    <mergeCell ref="AU54:AU55"/>
    <mergeCell ref="AV54:AV55"/>
    <mergeCell ref="AW54:AW55"/>
    <mergeCell ref="AZ53:AZ55"/>
    <mergeCell ref="AY53:AY55"/>
    <mergeCell ref="BC53:BC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E1">
      <selection activeCell="N12" sqref="N12:N16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7109375" style="0" bestFit="1" customWidth="1"/>
    <col min="6" max="6" width="11.7109375" style="0" bestFit="1" customWidth="1"/>
    <col min="7" max="7" width="16.57421875" style="0" customWidth="1"/>
    <col min="8" max="8" width="14.57421875" style="0" customWidth="1"/>
    <col min="9" max="9" width="13.28125" style="0" customWidth="1"/>
    <col min="10" max="10" width="18.8515625" style="0" customWidth="1"/>
    <col min="11" max="11" width="16.00390625" style="0" customWidth="1"/>
    <col min="13" max="13" width="13.421875" style="0" bestFit="1" customWidth="1"/>
    <col min="14" max="14" width="15.8515625" style="0" customWidth="1"/>
    <col min="15" max="15" width="15.140625" style="0" customWidth="1"/>
    <col min="16" max="16" width="14.00390625" style="0" bestFit="1" customWidth="1"/>
  </cols>
  <sheetData>
    <row r="2" ht="15.75" thickBot="1"/>
    <row r="3" spans="1:9" ht="15.75" thickBot="1">
      <c r="A3" s="998" t="s">
        <v>339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+Hoja1!B110</f>
        <v>135805</v>
      </c>
      <c r="C6" s="447">
        <f>+B6*5</f>
        <v>679025</v>
      </c>
      <c r="D6" s="715">
        <f>+Hoja1!L33</f>
        <v>2.71</v>
      </c>
      <c r="E6" s="447">
        <f>B6*D6</f>
        <v>368031.55</v>
      </c>
      <c r="F6" s="688">
        <f>+Hoja1!L34</f>
        <v>0.69</v>
      </c>
      <c r="G6" s="447">
        <f>B6*F6</f>
        <v>93705.45</v>
      </c>
      <c r="H6" s="717">
        <f>+Hoja1!L35</f>
        <v>1.6</v>
      </c>
      <c r="I6" s="447">
        <f>B6*H6</f>
        <v>217288</v>
      </c>
      <c r="J6" s="94"/>
      <c r="M6" s="94">
        <f>+E6+G6+I6</f>
        <v>679025</v>
      </c>
    </row>
    <row r="7" spans="1:13" ht="15">
      <c r="A7" s="466" t="s">
        <v>212</v>
      </c>
      <c r="B7" s="740">
        <f>+Hoja1!J110</f>
        <v>264870</v>
      </c>
      <c r="C7" s="448">
        <f>+B7*5.06</f>
        <v>1340242.2</v>
      </c>
      <c r="D7" s="690">
        <f>+Hoja1!M33</f>
        <v>2.77</v>
      </c>
      <c r="E7" s="448">
        <f>B7*D7</f>
        <v>733689.9</v>
      </c>
      <c r="F7" s="690">
        <f>+Hoja1!M34</f>
        <v>0.69</v>
      </c>
      <c r="G7" s="448">
        <f>B7*F7</f>
        <v>182760.3</v>
      </c>
      <c r="H7" s="718">
        <f>+Hoja1!M35</f>
        <v>1.6</v>
      </c>
      <c r="I7" s="448">
        <f>B7*H7</f>
        <v>423792</v>
      </c>
      <c r="M7" s="94">
        <f>+E7+G7+I7</f>
        <v>1340242.2</v>
      </c>
    </row>
    <row r="8" spans="1:13" ht="15.75" thickBot="1">
      <c r="A8" s="445" t="s">
        <v>46</v>
      </c>
      <c r="B8" s="741">
        <f>+Hoja1!R110</f>
        <v>43920</v>
      </c>
      <c r="C8" s="468">
        <f>+B8*4.02</f>
        <v>176558.4</v>
      </c>
      <c r="D8" s="689">
        <f>+Hoja1!N33</f>
        <v>2.32</v>
      </c>
      <c r="E8" s="468">
        <f>B8*D8</f>
        <v>101894.4</v>
      </c>
      <c r="F8" s="716">
        <f>+Hoja1!N34</f>
        <v>0.4</v>
      </c>
      <c r="G8" s="468">
        <f>B8*F8</f>
        <v>17568</v>
      </c>
      <c r="H8" s="716">
        <f>+Hoja1!N35</f>
        <v>1.3</v>
      </c>
      <c r="I8" s="468">
        <f>B8*H8</f>
        <v>57096</v>
      </c>
      <c r="M8" s="94">
        <f>+E8+G8+I8</f>
        <v>176558.4</v>
      </c>
    </row>
    <row r="9" spans="1:13" ht="15.75" thickBot="1">
      <c r="A9" s="450" t="s">
        <v>132</v>
      </c>
      <c r="B9" s="742">
        <f>SUM(B6:B8)</f>
        <v>444595</v>
      </c>
      <c r="C9" s="427">
        <f>SUM(C6:C8)</f>
        <v>2195825.6</v>
      </c>
      <c r="D9" s="426"/>
      <c r="E9" s="427">
        <f>SUM(E6:E8)</f>
        <v>1203615.8499999999</v>
      </c>
      <c r="F9" s="426"/>
      <c r="G9" s="427">
        <f>SUM(G6:G8)</f>
        <v>294033.75</v>
      </c>
      <c r="H9" s="627"/>
      <c r="I9" s="427">
        <f>SUM(I6:I8)</f>
        <v>698176</v>
      </c>
      <c r="M9" s="754">
        <f>SUM(M6:M8)</f>
        <v>2195825.6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294033.75</v>
      </c>
      <c r="I12" s="721" t="s">
        <v>267</v>
      </c>
      <c r="J12" s="736" t="s">
        <v>341</v>
      </c>
      <c r="K12" s="750">
        <v>531344.72</v>
      </c>
      <c r="L12" s="763" t="s">
        <v>301</v>
      </c>
    </row>
    <row r="13" spans="10:12" ht="15.75" thickBot="1">
      <c r="J13" s="736"/>
      <c r="K13" s="750"/>
      <c r="L13" s="760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1203615.8499999999</v>
      </c>
      <c r="J14" s="747"/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451">
        <f>+Hoja1!J71</f>
        <v>966304.88</v>
      </c>
      <c r="J16" s="736" t="s">
        <v>342</v>
      </c>
      <c r="K16" s="750">
        <v>966304.88</v>
      </c>
      <c r="L16" s="760"/>
    </row>
    <row r="17" spans="8:15" ht="15">
      <c r="H17" s="756"/>
      <c r="J17" s="736"/>
      <c r="K17" s="750"/>
      <c r="L17" s="760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26.2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41152</v>
      </c>
      <c r="B25" s="471">
        <f>+Hoja1!X15</f>
        <v>796218.0316666667</v>
      </c>
      <c r="C25" s="471">
        <f>+Hoja1!Y15</f>
        <v>1.2107350528960534</v>
      </c>
      <c r="D25" s="471">
        <f>+B25*C25</f>
        <v>964009.0806867332</v>
      </c>
      <c r="E25" s="471">
        <f>+Hoja1!AA15</f>
        <v>1203615.8499999999</v>
      </c>
      <c r="F25" s="752">
        <f>+Hoja1!AB15</f>
        <v>0.24855239863775705</v>
      </c>
      <c r="G25" s="471">
        <f>+Hoja1!AC15</f>
        <v>964009.0806867332</v>
      </c>
      <c r="H25" s="475">
        <f>+G25-I25</f>
        <v>-2295.7993132667616</v>
      </c>
      <c r="I25" s="471">
        <f>+Hoja1!R71</f>
        <v>966304.88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41152</v>
      </c>
      <c r="C30" s="737">
        <f>H14-H16</f>
        <v>237310.96999999986</v>
      </c>
      <c r="D30" s="743">
        <f>H25-I26</f>
        <v>-2295.7993132667616</v>
      </c>
      <c r="E30" s="733">
        <f>(D30-C30)/C30</f>
        <v>-1.0096742232913496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237310.96999999986</v>
      </c>
      <c r="I32" s="721" t="s">
        <v>300</v>
      </c>
      <c r="J32" s="484"/>
    </row>
    <row r="33" spans="1:14" ht="15.75" thickBot="1">
      <c r="A33" s="1011" t="s">
        <v>213</v>
      </c>
      <c r="B33" s="1012"/>
      <c r="C33" s="1012"/>
      <c r="D33" s="1012"/>
      <c r="E33" s="1012"/>
      <c r="F33" s="1012"/>
      <c r="G33" s="1012"/>
      <c r="H33" s="755">
        <f>H12+H32-K12-K13</f>
        <v>-1.1641532182693481E-10</v>
      </c>
      <c r="I33" s="722"/>
      <c r="J33" s="738"/>
      <c r="L33" s="747"/>
      <c r="N33" s="747">
        <f>207252.43+58308.72</f>
        <v>265561.15</v>
      </c>
    </row>
    <row r="34" ht="15.75" thickBot="1"/>
    <row r="35" spans="1:9" ht="15.75" thickBot="1">
      <c r="A35" s="998" t="s">
        <v>340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+Hoja1!B128</f>
        <v>131965</v>
      </c>
      <c r="C38" s="447">
        <f>+B38*5</f>
        <v>659825</v>
      </c>
      <c r="D38" s="715">
        <f>+Hoja1!L33</f>
        <v>2.71</v>
      </c>
      <c r="E38" s="447">
        <f>B38*D38</f>
        <v>357625.15</v>
      </c>
      <c r="F38" s="717">
        <f>+Hoja1!L34</f>
        <v>0.69</v>
      </c>
      <c r="G38" s="447">
        <f>B38*F38</f>
        <v>91055.84999999999</v>
      </c>
      <c r="H38" s="717">
        <f>+Hoja1!L35</f>
        <v>1.6</v>
      </c>
      <c r="I38" s="447">
        <f>B38*H38</f>
        <v>211144</v>
      </c>
      <c r="M38" s="94">
        <f>+E38+G38+I38</f>
        <v>659825</v>
      </c>
    </row>
    <row r="39" spans="1:13" ht="15">
      <c r="A39" s="466" t="s">
        <v>212</v>
      </c>
      <c r="B39" s="444">
        <f>+Hoja1!J128</f>
        <v>435000</v>
      </c>
      <c r="C39" s="448">
        <f>+B39*5.06</f>
        <v>2201100</v>
      </c>
      <c r="D39" s="690">
        <f>+Hoja1!M33</f>
        <v>2.77</v>
      </c>
      <c r="E39" s="448">
        <f>B39*D39</f>
        <v>1204950</v>
      </c>
      <c r="F39" s="718">
        <f>+Hoja1!M34</f>
        <v>0.69</v>
      </c>
      <c r="G39" s="448">
        <f>B39*F39</f>
        <v>300150</v>
      </c>
      <c r="H39" s="718">
        <f>+Hoja1!M35</f>
        <v>1.6</v>
      </c>
      <c r="I39" s="448">
        <f>B39*H39</f>
        <v>696000</v>
      </c>
      <c r="M39" s="94">
        <f>+E39+G39+I39</f>
        <v>2201100</v>
      </c>
    </row>
    <row r="40" spans="1:13" ht="15.75" thickBot="1">
      <c r="A40" s="445" t="s">
        <v>46</v>
      </c>
      <c r="B40" s="446">
        <f>+Hoja1!R128</f>
        <v>54540</v>
      </c>
      <c r="C40" s="468">
        <f>+B40*4.02</f>
        <v>219250.8</v>
      </c>
      <c r="D40" s="689">
        <f>+Hoja1!N33</f>
        <v>2.32</v>
      </c>
      <c r="E40" s="468">
        <f>B40*D40</f>
        <v>126532.79999999999</v>
      </c>
      <c r="F40" s="716">
        <f>+Hoja1!N34</f>
        <v>0.4</v>
      </c>
      <c r="G40" s="468">
        <f>B40*F40</f>
        <v>21816</v>
      </c>
      <c r="H40" s="716">
        <f>+Hoja1!N35</f>
        <v>1.3</v>
      </c>
      <c r="I40" s="468">
        <f>B40*H40</f>
        <v>70902</v>
      </c>
      <c r="M40" s="94">
        <f>+E40+G40+I40</f>
        <v>219250.8</v>
      </c>
    </row>
    <row r="41" spans="1:13" ht="15.75" thickBot="1">
      <c r="A41" s="450" t="s">
        <v>132</v>
      </c>
      <c r="B41" s="467">
        <f>SUM(B38:B40)</f>
        <v>621505</v>
      </c>
      <c r="C41" s="427">
        <f>SUM(C38:C40)</f>
        <v>3080175.8</v>
      </c>
      <c r="D41" s="426"/>
      <c r="E41" s="427">
        <f>SUM(E38:E40)</f>
        <v>1689107.95</v>
      </c>
      <c r="F41" s="426"/>
      <c r="G41" s="427">
        <f>SUM(G38:G40)</f>
        <v>413021.85</v>
      </c>
      <c r="H41" s="426"/>
      <c r="I41" s="427">
        <f>SUM(I38:I40)</f>
        <v>978046</v>
      </c>
      <c r="M41" s="754">
        <f>SUM(M38:M40)</f>
        <v>3080175.8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413021.85</v>
      </c>
      <c r="I44" s="721" t="s">
        <v>267</v>
      </c>
      <c r="J44" s="736" t="s">
        <v>341</v>
      </c>
      <c r="K44" s="750">
        <v>538135.41</v>
      </c>
      <c r="L44" s="763" t="s">
        <v>347</v>
      </c>
    </row>
    <row r="45" spans="10:12" ht="15.75" thickBot="1">
      <c r="J45" s="736"/>
      <c r="K45" s="750"/>
      <c r="L45" s="760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1689107.95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Hoja1!J54</f>
        <v>1561980.82</v>
      </c>
      <c r="J48" s="736" t="s">
        <v>346</v>
      </c>
      <c r="K48" s="750">
        <v>1561980.82</v>
      </c>
      <c r="L48" s="760"/>
    </row>
    <row r="49" spans="8:12" ht="15">
      <c r="H49" s="759"/>
      <c r="J49" s="736"/>
      <c r="K49" s="750"/>
      <c r="L49" s="760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26.2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6" ht="15.75" thickBot="1">
      <c r="A57" s="470">
        <v>41152</v>
      </c>
      <c r="B57" s="471">
        <f>+Hoja1!AI15</f>
        <v>1290391.2900000003</v>
      </c>
      <c r="C57" s="471">
        <f>+Hoja1!AJ15</f>
        <v>1.212031109118955</v>
      </c>
      <c r="D57" s="471">
        <f>+B57*C57</f>
        <v>1563994.3864161395</v>
      </c>
      <c r="E57" s="471">
        <f>+Hoja1!AL15</f>
        <v>1689107.95</v>
      </c>
      <c r="F57" s="752">
        <f>+Hoja1!AM15</f>
        <v>0.07999617177051097</v>
      </c>
      <c r="G57" s="471">
        <f>+Hoja1!AN15</f>
        <v>1563994.3864161395</v>
      </c>
      <c r="H57" s="475">
        <f>+G57-I57</f>
        <v>2013.5664161394816</v>
      </c>
      <c r="I57" s="471">
        <f>+Hoja1!R54</f>
        <v>1561980.82</v>
      </c>
      <c r="K57" s="523"/>
      <c r="M57" s="523"/>
      <c r="N57" s="757">
        <f>+E41+G41</f>
        <v>2102129.8</v>
      </c>
      <c r="O57" s="747">
        <v>1689107.95</v>
      </c>
      <c r="P57" s="747">
        <v>413021.85</v>
      </c>
    </row>
    <row r="58" spans="1:16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  <c r="M58" s="523"/>
      <c r="N58" s="757">
        <v>2102129.8</v>
      </c>
      <c r="O58" s="747">
        <v>1561980.82</v>
      </c>
      <c r="P58" s="747">
        <v>538135.41</v>
      </c>
    </row>
    <row r="59" spans="1:16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  <c r="M59" s="523"/>
      <c r="N59" s="758">
        <f>+N57-N58</f>
        <v>0</v>
      </c>
      <c r="O59" s="758">
        <f>+O57-O58</f>
        <v>127127.12999999989</v>
      </c>
      <c r="P59" s="758">
        <f>+P57-P58</f>
        <v>-125113.56000000006</v>
      </c>
    </row>
    <row r="60" spans="1:16" ht="15">
      <c r="A60" s="477"/>
      <c r="B60" s="478"/>
      <c r="C60" s="1005"/>
      <c r="D60" s="1008"/>
      <c r="E60" s="1005"/>
      <c r="F60" s="478"/>
      <c r="G60" s="478"/>
      <c r="H60" s="479"/>
      <c r="I60" s="478"/>
      <c r="N60" s="747"/>
      <c r="O60" s="1016">
        <f>SUM(O59:P59)</f>
        <v>2013.5699999998324</v>
      </c>
      <c r="P60" s="1016"/>
    </row>
    <row r="61" spans="3:5" ht="18.75" customHeight="1" thickBot="1">
      <c r="C61" s="1006"/>
      <c r="D61" s="1009"/>
      <c r="E61" s="1006"/>
    </row>
    <row r="62" spans="2:16" ht="15.75" thickBot="1">
      <c r="B62" s="480">
        <v>41152</v>
      </c>
      <c r="C62" s="737">
        <f>H46-H48</f>
        <v>127127.12999999989</v>
      </c>
      <c r="D62" s="427">
        <f>H57</f>
        <v>2013.5664161394816</v>
      </c>
      <c r="E62" s="481">
        <f>(D62-C62)/C62</f>
        <v>-0.9841610015412172</v>
      </c>
      <c r="F62" s="476"/>
      <c r="M62" s="523"/>
      <c r="N62" s="523"/>
      <c r="O62" s="523"/>
      <c r="P62" s="523"/>
    </row>
    <row r="63" spans="13:16" ht="15.75" thickBot="1">
      <c r="M63" s="523"/>
      <c r="N63" s="523"/>
      <c r="O63" s="523"/>
      <c r="P63" s="523"/>
    </row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127127.12999999989</v>
      </c>
      <c r="I64" s="721" t="s">
        <v>300</v>
      </c>
      <c r="J64" s="484"/>
    </row>
    <row r="65" spans="1:12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2013.5699999998324</v>
      </c>
      <c r="I65" s="721" t="s">
        <v>270</v>
      </c>
      <c r="J65" s="738"/>
      <c r="L65" s="747"/>
    </row>
  </sheetData>
  <sheetProtection/>
  <mergeCells count="35">
    <mergeCell ref="E59:E61"/>
    <mergeCell ref="O60:P60"/>
    <mergeCell ref="A64:G64"/>
    <mergeCell ref="A44:G44"/>
    <mergeCell ref="A46:G46"/>
    <mergeCell ref="A48:G48"/>
    <mergeCell ref="A65:G65"/>
    <mergeCell ref="A53:I54"/>
    <mergeCell ref="A55:A56"/>
    <mergeCell ref="C59:C61"/>
    <mergeCell ref="D59:D61"/>
    <mergeCell ref="A33:G33"/>
    <mergeCell ref="A35:I35"/>
    <mergeCell ref="A36:A37"/>
    <mergeCell ref="B36:B37"/>
    <mergeCell ref="C36:C37"/>
    <mergeCell ref="D36:E36"/>
    <mergeCell ref="F36:G36"/>
    <mergeCell ref="H36:I36"/>
    <mergeCell ref="A21:I22"/>
    <mergeCell ref="A23:A24"/>
    <mergeCell ref="C27:C29"/>
    <mergeCell ref="D27:D29"/>
    <mergeCell ref="E27:E29"/>
    <mergeCell ref="A32:G32"/>
    <mergeCell ref="A12:G12"/>
    <mergeCell ref="A14:G14"/>
    <mergeCell ref="A16:G16"/>
    <mergeCell ref="A3:I3"/>
    <mergeCell ref="A4:A5"/>
    <mergeCell ref="B4:B5"/>
    <mergeCell ref="C4:C5"/>
    <mergeCell ref="D4:E4"/>
    <mergeCell ref="F4:G4"/>
    <mergeCell ref="H4:I4"/>
  </mergeCells>
  <printOptions/>
  <pageMargins left="0.44" right="0.75" top="0.41" bottom="0.43" header="0" footer="0"/>
  <pageSetup horizontalDpi="600" verticalDpi="600" orientation="landscape" paperSize="5" scale="84" r:id="rId1"/>
  <rowBreaks count="1" manualBreakCount="1">
    <brk id="3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E5">
      <selection activeCell="N12" sqref="N12:N16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7109375" style="0" bestFit="1" customWidth="1"/>
    <col min="6" max="6" width="11.8515625" style="0" bestFit="1" customWidth="1"/>
    <col min="7" max="7" width="16.57421875" style="0" customWidth="1"/>
    <col min="8" max="8" width="14.8515625" style="0" customWidth="1"/>
    <col min="9" max="9" width="13.28125" style="0" customWidth="1"/>
    <col min="10" max="10" width="18.8515625" style="0" customWidth="1"/>
    <col min="11" max="11" width="16.00390625" style="0" customWidth="1"/>
    <col min="13" max="13" width="13.7109375" style="0" bestFit="1" customWidth="1"/>
    <col min="14" max="14" width="15.8515625" style="0" customWidth="1"/>
    <col min="15" max="15" width="15.140625" style="0" customWidth="1"/>
    <col min="16" max="16" width="14.140625" style="0" bestFit="1" customWidth="1"/>
  </cols>
  <sheetData>
    <row r="2" ht="15.75" thickBot="1"/>
    <row r="3" spans="1:9" ht="15.75" thickBot="1">
      <c r="A3" s="998" t="s">
        <v>348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+Hoja1!B111</f>
        <v>130415</v>
      </c>
      <c r="C6" s="447">
        <f>+B6*5</f>
        <v>652075</v>
      </c>
      <c r="D6" s="715">
        <f>+Hoja1!L33</f>
        <v>2.71</v>
      </c>
      <c r="E6" s="447">
        <f>B6*D6</f>
        <v>353424.65</v>
      </c>
      <c r="F6" s="688">
        <f>+Hoja1!L34</f>
        <v>0.69</v>
      </c>
      <c r="G6" s="447">
        <f>B6*F6</f>
        <v>89986.34999999999</v>
      </c>
      <c r="H6" s="717">
        <f>+Hoja1!L35</f>
        <v>1.6</v>
      </c>
      <c r="I6" s="447">
        <f>B6*H6</f>
        <v>208664</v>
      </c>
      <c r="J6" s="94"/>
      <c r="M6" s="94">
        <f>+E6+G6+I6</f>
        <v>652075</v>
      </c>
    </row>
    <row r="7" spans="1:13" ht="15">
      <c r="A7" s="466" t="s">
        <v>212</v>
      </c>
      <c r="B7" s="740">
        <f>+Hoja1!J111</f>
        <v>259515</v>
      </c>
      <c r="C7" s="448">
        <f>+B7*5.06</f>
        <v>1313145.9</v>
      </c>
      <c r="D7" s="690">
        <f>+Hoja1!M33</f>
        <v>2.77</v>
      </c>
      <c r="E7" s="448">
        <f>B7*D7</f>
        <v>718856.55</v>
      </c>
      <c r="F7" s="690">
        <f>+Hoja1!M34</f>
        <v>0.69</v>
      </c>
      <c r="G7" s="448">
        <f>B7*F7</f>
        <v>179065.34999999998</v>
      </c>
      <c r="H7" s="718">
        <f>+Hoja1!M35</f>
        <v>1.6</v>
      </c>
      <c r="I7" s="448">
        <f>B7*H7</f>
        <v>415224</v>
      </c>
      <c r="M7" s="94">
        <f>+E7+G7+I7</f>
        <v>1313145.9</v>
      </c>
    </row>
    <row r="8" spans="1:13" ht="15.75" thickBot="1">
      <c r="A8" s="445" t="s">
        <v>46</v>
      </c>
      <c r="B8" s="741">
        <f>+Hoja1!R111</f>
        <v>47160</v>
      </c>
      <c r="C8" s="468">
        <f>+B8*4.02</f>
        <v>189583.19999999998</v>
      </c>
      <c r="D8" s="689">
        <f>+Hoja1!N33</f>
        <v>2.32</v>
      </c>
      <c r="E8" s="468">
        <f>B8*D8</f>
        <v>109411.2</v>
      </c>
      <c r="F8" s="716">
        <f>+Hoja1!N34</f>
        <v>0.4</v>
      </c>
      <c r="G8" s="468">
        <f>B8*F8</f>
        <v>18864</v>
      </c>
      <c r="H8" s="716">
        <f>+Hoja1!N35</f>
        <v>1.3</v>
      </c>
      <c r="I8" s="468">
        <f>B8*H8</f>
        <v>61308</v>
      </c>
      <c r="M8" s="94">
        <f>+E8+G8+I8</f>
        <v>189583.2</v>
      </c>
    </row>
    <row r="9" spans="1:13" ht="15.75" thickBot="1">
      <c r="A9" s="450" t="s">
        <v>132</v>
      </c>
      <c r="B9" s="742">
        <f>SUM(B6:B8)</f>
        <v>437090</v>
      </c>
      <c r="C9" s="427">
        <f>SUM(C6:C8)</f>
        <v>2154804.1</v>
      </c>
      <c r="D9" s="426"/>
      <c r="E9" s="427">
        <f>SUM(E6:E8)</f>
        <v>1181692.4000000001</v>
      </c>
      <c r="F9" s="426"/>
      <c r="G9" s="427">
        <f>SUM(G6:G8)</f>
        <v>287915.69999999995</v>
      </c>
      <c r="H9" s="627"/>
      <c r="I9" s="427">
        <f>SUM(I6:I8)</f>
        <v>685196</v>
      </c>
      <c r="M9" s="754">
        <f>SUM(M6:M8)</f>
        <v>2154804.1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287915.69999999995</v>
      </c>
      <c r="I12" s="721" t="s">
        <v>267</v>
      </c>
      <c r="J12" s="736" t="s">
        <v>350</v>
      </c>
      <c r="K12" s="750">
        <v>634977.01</v>
      </c>
      <c r="L12" s="763" t="s">
        <v>301</v>
      </c>
    </row>
    <row r="13" spans="10:12" ht="15.75" thickBot="1">
      <c r="J13" s="736"/>
      <c r="K13" s="750"/>
      <c r="L13" s="760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1181692.4000000001</v>
      </c>
      <c r="J14" s="747"/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451">
        <f>+Hoja1!J72</f>
        <v>834631.09</v>
      </c>
      <c r="J16" s="736" t="s">
        <v>351</v>
      </c>
      <c r="K16" s="750">
        <v>834631.09</v>
      </c>
      <c r="L16" s="760"/>
    </row>
    <row r="17" spans="8:15" ht="15">
      <c r="H17" s="756"/>
      <c r="J17" s="736"/>
      <c r="K17" s="750"/>
      <c r="L17" s="760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15.7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41182</v>
      </c>
      <c r="B25" s="471">
        <f>+Hoja1!X16</f>
        <v>688587.3016666666</v>
      </c>
      <c r="C25" s="471">
        <f>+Hoja1!Y16</f>
        <v>1.2091485060710812</v>
      </c>
      <c r="D25" s="471">
        <f>+B25*C25</f>
        <v>832604.3071097669</v>
      </c>
      <c r="E25" s="471">
        <f>+Hoja1!AA16</f>
        <v>1181692.4000000001</v>
      </c>
      <c r="F25" s="752">
        <f>+Hoja1!AB16</f>
        <v>0.4192725042487812</v>
      </c>
      <c r="G25" s="471">
        <f>+Hoja1!AC16</f>
        <v>832604.3071097669</v>
      </c>
      <c r="H25" s="475">
        <f>+G25-I25</f>
        <v>-2026.7828902330948</v>
      </c>
      <c r="I25" s="471">
        <f>+Hoja1!R72</f>
        <v>834631.09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41182</v>
      </c>
      <c r="C30" s="737">
        <f>H14-H16</f>
        <v>347061.3100000002</v>
      </c>
      <c r="D30" s="743">
        <f>H25-I26</f>
        <v>-2026.7828902330948</v>
      </c>
      <c r="E30" s="733">
        <f>(D30-C30)/C30</f>
        <v>-1.0058398410650646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347061.3100000002</v>
      </c>
      <c r="I32" s="721" t="s">
        <v>300</v>
      </c>
      <c r="J32" s="484"/>
    </row>
    <row r="33" spans="1:14" ht="15.75" thickBot="1">
      <c r="A33" s="1011" t="s">
        <v>213</v>
      </c>
      <c r="B33" s="1012"/>
      <c r="C33" s="1012"/>
      <c r="D33" s="1012"/>
      <c r="E33" s="1012"/>
      <c r="F33" s="1012"/>
      <c r="G33" s="1012"/>
      <c r="H33" s="755">
        <f>H12+H32-K12-K13</f>
        <v>1.1641532182693481E-10</v>
      </c>
      <c r="I33" s="722"/>
      <c r="J33" s="738"/>
      <c r="L33" s="747"/>
      <c r="N33" s="747">
        <f>207252.43+58308.72</f>
        <v>265561.15</v>
      </c>
    </row>
    <row r="34" ht="15.75" thickBot="1"/>
    <row r="35" spans="1:9" ht="15.75" thickBot="1">
      <c r="A35" s="998" t="s">
        <v>349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+Hoja1!B129</f>
        <v>118180</v>
      </c>
      <c r="C38" s="447">
        <f>+B38*5</f>
        <v>590900</v>
      </c>
      <c r="D38" s="715">
        <f>+Hoja1!L33</f>
        <v>2.71</v>
      </c>
      <c r="E38" s="447">
        <f>B38*D38</f>
        <v>320267.8</v>
      </c>
      <c r="F38" s="717">
        <f>+Hoja1!L34</f>
        <v>0.69</v>
      </c>
      <c r="G38" s="447">
        <f>B38*F38</f>
        <v>81544.2</v>
      </c>
      <c r="H38" s="717">
        <f>+Hoja1!L35</f>
        <v>1.6</v>
      </c>
      <c r="I38" s="447">
        <f>B38*H38</f>
        <v>189088</v>
      </c>
      <c r="M38" s="94">
        <f>+E38+G38+I38</f>
        <v>590900</v>
      </c>
    </row>
    <row r="39" spans="1:13" ht="15">
      <c r="A39" s="466" t="s">
        <v>212</v>
      </c>
      <c r="B39" s="444">
        <f>+Hoja1!J129</f>
        <v>372090</v>
      </c>
      <c r="C39" s="448">
        <f>+B39*5.06</f>
        <v>1882775.4</v>
      </c>
      <c r="D39" s="690">
        <f>+Hoja1!M33</f>
        <v>2.77</v>
      </c>
      <c r="E39" s="448">
        <f>B39*D39</f>
        <v>1030689.3</v>
      </c>
      <c r="F39" s="718">
        <f>+Hoja1!M34</f>
        <v>0.69</v>
      </c>
      <c r="G39" s="448">
        <f>B39*F39</f>
        <v>256742.09999999998</v>
      </c>
      <c r="H39" s="718">
        <f>+Hoja1!M35</f>
        <v>1.6</v>
      </c>
      <c r="I39" s="448">
        <f>B39*H39</f>
        <v>595344</v>
      </c>
      <c r="M39" s="94">
        <f>+E39+G39+I39</f>
        <v>1882775.4</v>
      </c>
    </row>
    <row r="40" spans="1:13" ht="15.75" thickBot="1">
      <c r="A40" s="445" t="s">
        <v>46</v>
      </c>
      <c r="B40" s="446">
        <f>+Hoja1!R129</f>
        <v>58680</v>
      </c>
      <c r="C40" s="468">
        <f>+B40*4.02</f>
        <v>235893.59999999998</v>
      </c>
      <c r="D40" s="689">
        <f>+Hoja1!N33</f>
        <v>2.32</v>
      </c>
      <c r="E40" s="468">
        <f>B40*D40</f>
        <v>136137.59999999998</v>
      </c>
      <c r="F40" s="716">
        <f>+Hoja1!N34</f>
        <v>0.4</v>
      </c>
      <c r="G40" s="468">
        <f>B40*F40</f>
        <v>23472</v>
      </c>
      <c r="H40" s="716">
        <f>+Hoja1!N35</f>
        <v>1.3</v>
      </c>
      <c r="I40" s="468">
        <f>B40*H40</f>
        <v>76284</v>
      </c>
      <c r="M40" s="94">
        <f>+E40+G40+I40</f>
        <v>235893.59999999998</v>
      </c>
    </row>
    <row r="41" spans="1:13" ht="15.75" thickBot="1">
      <c r="A41" s="450" t="s">
        <v>132</v>
      </c>
      <c r="B41" s="467">
        <f>SUM(B38:B40)</f>
        <v>548950</v>
      </c>
      <c r="C41" s="427">
        <f>SUM(C38:C40)</f>
        <v>2709569</v>
      </c>
      <c r="D41" s="426"/>
      <c r="E41" s="427">
        <f>SUM(E38:E40)</f>
        <v>1487094.7000000002</v>
      </c>
      <c r="F41" s="426"/>
      <c r="G41" s="427">
        <f>SUM(G38:G40)</f>
        <v>361758.3</v>
      </c>
      <c r="H41" s="426"/>
      <c r="I41" s="427">
        <f>SUM(I38:I40)</f>
        <v>860716</v>
      </c>
      <c r="M41" s="754">
        <f>SUM(M38:M40)</f>
        <v>2709569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361758.3</v>
      </c>
      <c r="I44" s="721"/>
      <c r="J44" s="736" t="s">
        <v>350</v>
      </c>
      <c r="K44" s="750">
        <v>361758.3</v>
      </c>
      <c r="L44" s="763"/>
    </row>
    <row r="45" spans="10:12" ht="15.75" thickBot="1">
      <c r="J45" s="736"/>
      <c r="K45" s="750"/>
      <c r="L45" s="760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1487094.7000000002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Hoja1!J55</f>
        <v>1379228.8</v>
      </c>
      <c r="J48" s="736" t="s">
        <v>352</v>
      </c>
      <c r="K48" s="750">
        <v>1379228.8</v>
      </c>
      <c r="L48" s="760"/>
    </row>
    <row r="49" spans="8:12" ht="15">
      <c r="H49" s="759"/>
      <c r="J49" s="736"/>
      <c r="K49" s="750"/>
      <c r="L49" s="760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15.7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6" ht="15.75" thickBot="1">
      <c r="A57" s="470">
        <v>41182</v>
      </c>
      <c r="B57" s="471">
        <f>+Hoja1!AI16</f>
        <v>1151254.9400000002</v>
      </c>
      <c r="C57" s="471">
        <f>+Hoja1!AJ16</f>
        <v>1.2708321822890232</v>
      </c>
      <c r="D57" s="471">
        <f>+B57*C57</f>
        <v>1463051.8277712187</v>
      </c>
      <c r="E57" s="471">
        <f>+Hoja1!AL16</f>
        <v>1487094.7000000002</v>
      </c>
      <c r="F57" s="752">
        <f>+Hoja1!AM16</f>
        <v>0.016433370146160746</v>
      </c>
      <c r="G57" s="471">
        <f>+Hoja1!AN16</f>
        <v>1463051.8277712187</v>
      </c>
      <c r="H57" s="475">
        <f>+G57-I57</f>
        <v>83823.02777121868</v>
      </c>
      <c r="I57" s="471">
        <f>+Hoja1!R55</f>
        <v>1379228.8</v>
      </c>
      <c r="K57" s="523"/>
      <c r="M57" s="523"/>
      <c r="N57" s="757">
        <f>+E41+G41</f>
        <v>1848853.0000000002</v>
      </c>
      <c r="O57" s="747">
        <v>1487094.7</v>
      </c>
      <c r="P57" s="747">
        <v>361758.3</v>
      </c>
    </row>
    <row r="58" spans="1:16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  <c r="M58" s="523"/>
      <c r="N58" s="757">
        <v>1848853</v>
      </c>
      <c r="O58" s="747">
        <f>+K48</f>
        <v>1379228.8</v>
      </c>
      <c r="P58" s="747">
        <f>+K44</f>
        <v>361758.3</v>
      </c>
    </row>
    <row r="59" spans="1:16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  <c r="M59" s="523"/>
      <c r="N59" s="758">
        <f>+N57-N58</f>
        <v>0</v>
      </c>
      <c r="O59" s="758">
        <f>+O57-O58</f>
        <v>107865.8999999999</v>
      </c>
      <c r="P59" s="758">
        <f>+P57-P58</f>
        <v>0</v>
      </c>
    </row>
    <row r="60" spans="1:16" ht="15">
      <c r="A60" s="477"/>
      <c r="B60" s="478"/>
      <c r="C60" s="1005"/>
      <c r="D60" s="1008"/>
      <c r="E60" s="1005"/>
      <c r="F60" s="478"/>
      <c r="G60" s="478"/>
      <c r="H60" s="479"/>
      <c r="I60" s="478"/>
      <c r="N60" s="747"/>
      <c r="O60" s="1016">
        <f>SUM(O59:P59)</f>
        <v>107865.8999999999</v>
      </c>
      <c r="P60" s="1016"/>
    </row>
    <row r="61" spans="3:16" ht="18.75" customHeight="1" thickBot="1">
      <c r="C61" s="1006"/>
      <c r="D61" s="1009"/>
      <c r="E61" s="1006"/>
      <c r="O61" s="1016">
        <v>-80710.68</v>
      </c>
      <c r="P61" s="1016"/>
    </row>
    <row r="62" spans="2:16" ht="15.75" thickBot="1">
      <c r="B62" s="480">
        <v>41182</v>
      </c>
      <c r="C62" s="737">
        <f>H46-H48</f>
        <v>107865.90000000014</v>
      </c>
      <c r="D62" s="427">
        <f>H57</f>
        <v>83823.02777121868</v>
      </c>
      <c r="E62" s="481">
        <f>(D62-C62)/C62</f>
        <v>-0.22289594977450175</v>
      </c>
      <c r="F62" s="476"/>
      <c r="M62" s="523"/>
      <c r="N62" s="523"/>
      <c r="O62" s="1017">
        <f>SUM(O60:P61)</f>
        <v>27155.219999999914</v>
      </c>
      <c r="P62" s="1017"/>
    </row>
    <row r="63" spans="13:16" ht="15.75" thickBot="1">
      <c r="M63" s="523"/>
      <c r="N63" s="523"/>
      <c r="O63" s="523"/>
      <c r="P63" s="523"/>
    </row>
    <row r="64" spans="1:11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107865.90000000014</v>
      </c>
      <c r="I64" s="721"/>
      <c r="J64" s="714" t="s">
        <v>358</v>
      </c>
      <c r="K64" s="714" t="s">
        <v>359</v>
      </c>
    </row>
    <row r="65" spans="1:12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107865.90000000014</v>
      </c>
      <c r="I65" s="721"/>
      <c r="J65" s="484">
        <f>+'ART.25 DN 786-02 OCT-12'!H64</f>
        <v>-80710.67999999993</v>
      </c>
      <c r="K65" s="516">
        <f>+H64+J65</f>
        <v>27155.220000000205</v>
      </c>
      <c r="L65" s="747"/>
    </row>
  </sheetData>
  <sheetProtection/>
  <mergeCells count="37">
    <mergeCell ref="D36:E36"/>
    <mergeCell ref="F36:G36"/>
    <mergeCell ref="H36:I36"/>
    <mergeCell ref="O60:P60"/>
    <mergeCell ref="A64:G64"/>
    <mergeCell ref="A65:G65"/>
    <mergeCell ref="O61:P61"/>
    <mergeCell ref="O62:P62"/>
    <mergeCell ref="D27:D29"/>
    <mergeCell ref="E27:E29"/>
    <mergeCell ref="C36:C37"/>
    <mergeCell ref="A14:G14"/>
    <mergeCell ref="A53:I54"/>
    <mergeCell ref="A32:G32"/>
    <mergeCell ref="A33:G33"/>
    <mergeCell ref="A35:I35"/>
    <mergeCell ref="A36:A37"/>
    <mergeCell ref="B36:B37"/>
    <mergeCell ref="A55:A56"/>
    <mergeCell ref="C59:C61"/>
    <mergeCell ref="D59:D61"/>
    <mergeCell ref="E59:E61"/>
    <mergeCell ref="A12:G12"/>
    <mergeCell ref="A44:G44"/>
    <mergeCell ref="A46:G46"/>
    <mergeCell ref="A48:G48"/>
    <mergeCell ref="A23:A24"/>
    <mergeCell ref="C27:C29"/>
    <mergeCell ref="A16:G16"/>
    <mergeCell ref="A21:I22"/>
    <mergeCell ref="A3:I3"/>
    <mergeCell ref="A4:A5"/>
    <mergeCell ref="B4:B5"/>
    <mergeCell ref="C4:C5"/>
    <mergeCell ref="D4:E4"/>
    <mergeCell ref="F4:G4"/>
    <mergeCell ref="H4:I4"/>
  </mergeCells>
  <printOptions/>
  <pageMargins left="0.5" right="0.37" top="0.76" bottom="0.36" header="0" footer="0"/>
  <pageSetup horizontalDpi="600" verticalDpi="600" orientation="landscape" paperSize="5" scale="82" r:id="rId2"/>
  <rowBreaks count="1" manualBreakCount="1">
    <brk id="33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E2">
      <selection activeCell="N12" sqref="N12:N16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7109375" style="0" bestFit="1" customWidth="1"/>
    <col min="6" max="6" width="11.8515625" style="0" bestFit="1" customWidth="1"/>
    <col min="7" max="7" width="16.57421875" style="0" customWidth="1"/>
    <col min="8" max="8" width="14.8515625" style="0" customWidth="1"/>
    <col min="9" max="9" width="13.28125" style="0" customWidth="1"/>
    <col min="10" max="10" width="18.8515625" style="0" customWidth="1"/>
    <col min="11" max="11" width="16.00390625" style="0" customWidth="1"/>
    <col min="13" max="13" width="13.7109375" style="0" bestFit="1" customWidth="1"/>
    <col min="14" max="14" width="15.8515625" style="0" customWidth="1"/>
    <col min="15" max="15" width="15.140625" style="0" customWidth="1"/>
    <col min="16" max="16" width="14.140625" style="0" bestFit="1" customWidth="1"/>
  </cols>
  <sheetData>
    <row r="2" ht="15.75" thickBot="1"/>
    <row r="3" spans="1:9" ht="15.75" thickBot="1">
      <c r="A3" s="998" t="s">
        <v>353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+Hoja1!B112</f>
        <v>63865</v>
      </c>
      <c r="C6" s="447">
        <f>+B6*5</f>
        <v>319325</v>
      </c>
      <c r="D6" s="715">
        <f>+Hoja1!L33</f>
        <v>2.71</v>
      </c>
      <c r="E6" s="447">
        <f>B6*D6</f>
        <v>173074.15</v>
      </c>
      <c r="F6" s="688">
        <f>+Hoja1!L34</f>
        <v>0.69</v>
      </c>
      <c r="G6" s="447">
        <f>B6*F6</f>
        <v>44066.85</v>
      </c>
      <c r="H6" s="717">
        <f>+Hoja1!L35</f>
        <v>1.6</v>
      </c>
      <c r="I6" s="447">
        <f>B6*H6</f>
        <v>102184</v>
      </c>
      <c r="J6" s="94"/>
      <c r="M6" s="94">
        <f>+E6+G6+I6</f>
        <v>319325</v>
      </c>
    </row>
    <row r="7" spans="1:13" ht="15">
      <c r="A7" s="466" t="s">
        <v>212</v>
      </c>
      <c r="B7" s="740">
        <f>+Hoja1!J112</f>
        <v>130635</v>
      </c>
      <c r="C7" s="448">
        <f>+B7*5.06</f>
        <v>661013.1</v>
      </c>
      <c r="D7" s="690">
        <f>+Hoja1!M33</f>
        <v>2.77</v>
      </c>
      <c r="E7" s="448">
        <f>B7*D7</f>
        <v>361858.95</v>
      </c>
      <c r="F7" s="690">
        <f>+Hoja1!M34</f>
        <v>0.69</v>
      </c>
      <c r="G7" s="448">
        <f>B7*F7</f>
        <v>90138.15</v>
      </c>
      <c r="H7" s="718">
        <f>+Hoja1!M35</f>
        <v>1.6</v>
      </c>
      <c r="I7" s="448">
        <f>B7*H7</f>
        <v>209016</v>
      </c>
      <c r="M7" s="94">
        <f>+E7+G7+I7</f>
        <v>661013.1</v>
      </c>
    </row>
    <row r="8" spans="1:13" ht="15.75" thickBot="1">
      <c r="A8" s="445" t="s">
        <v>46</v>
      </c>
      <c r="B8" s="741">
        <f>+Hoja1!R112</f>
        <v>22320</v>
      </c>
      <c r="C8" s="468">
        <f>+B8*4.02</f>
        <v>89726.4</v>
      </c>
      <c r="D8" s="689">
        <f>+Hoja1!N33</f>
        <v>2.32</v>
      </c>
      <c r="E8" s="468">
        <f>B8*D8</f>
        <v>51782.399999999994</v>
      </c>
      <c r="F8" s="716">
        <f>+Hoja1!N34</f>
        <v>0.4</v>
      </c>
      <c r="G8" s="468">
        <f>B8*F8</f>
        <v>8928</v>
      </c>
      <c r="H8" s="716">
        <f>+Hoja1!N35</f>
        <v>1.3</v>
      </c>
      <c r="I8" s="468">
        <f>B8*H8</f>
        <v>29016</v>
      </c>
      <c r="M8" s="94">
        <f>+E8+G8+I8</f>
        <v>89726.4</v>
      </c>
    </row>
    <row r="9" spans="1:13" ht="15.75" thickBot="1">
      <c r="A9" s="450" t="s">
        <v>132</v>
      </c>
      <c r="B9" s="742">
        <f>SUM(B6:B8)</f>
        <v>216820</v>
      </c>
      <c r="C9" s="427">
        <f>SUM(C6:C8)</f>
        <v>1070064.5</v>
      </c>
      <c r="D9" s="426"/>
      <c r="E9" s="427">
        <f>SUM(E6:E8)</f>
        <v>586715.5</v>
      </c>
      <c r="F9" s="426"/>
      <c r="G9" s="427">
        <f>SUM(G6:G8)</f>
        <v>143133</v>
      </c>
      <c r="H9" s="627"/>
      <c r="I9" s="427">
        <f>SUM(I6:I8)</f>
        <v>340216</v>
      </c>
      <c r="M9" s="754">
        <f>SUM(M6:M8)</f>
        <v>1070064.5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143133</v>
      </c>
      <c r="I12" s="721"/>
      <c r="J12" s="736" t="s">
        <v>355</v>
      </c>
      <c r="K12" s="750">
        <v>143133</v>
      </c>
      <c r="L12" s="763"/>
    </row>
    <row r="13" spans="10:12" ht="15.75" thickBot="1">
      <c r="J13" s="736"/>
      <c r="K13" s="750"/>
      <c r="L13" s="760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586715.5</v>
      </c>
      <c r="J14" s="747"/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451">
        <f>+Hoja1!J73</f>
        <v>586715.5</v>
      </c>
      <c r="J16" s="736" t="s">
        <v>356</v>
      </c>
      <c r="K16" s="750">
        <v>586715.5</v>
      </c>
      <c r="L16" s="760"/>
    </row>
    <row r="17" spans="8:15" ht="15">
      <c r="H17" s="756"/>
      <c r="J17" s="736"/>
      <c r="K17" s="750"/>
      <c r="L17" s="760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15.7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41213</v>
      </c>
      <c r="B25" s="471">
        <f>+Hoja1!X17</f>
        <v>557605.2016666667</v>
      </c>
      <c r="C25" s="471">
        <f>+Hoja1!Y17</f>
        <v>1.206456926483405</v>
      </c>
      <c r="D25" s="471">
        <f>+B25*C25</f>
        <v>672726.657793926</v>
      </c>
      <c r="E25" s="471">
        <f>+Hoja1!AA17</f>
        <v>586715.5</v>
      </c>
      <c r="F25" s="752">
        <f>+Hoja1!AB17</f>
        <v>-0.12785454061829887</v>
      </c>
      <c r="G25" s="471">
        <f>+Hoja1!AC17</f>
        <v>586715.5</v>
      </c>
      <c r="H25" s="475">
        <f>+G25-I25</f>
        <v>0</v>
      </c>
      <c r="I25" s="471">
        <f>+Hoja1!R73</f>
        <v>586715.5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41213</v>
      </c>
      <c r="C30" s="737">
        <f>H14-H16</f>
        <v>0</v>
      </c>
      <c r="D30" s="743">
        <f>H25-I26</f>
        <v>0</v>
      </c>
      <c r="E30" s="733" t="e">
        <f>(D30-C30)/C30</f>
        <v>#DIV/0!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0</v>
      </c>
      <c r="I32" s="721"/>
      <c r="J32" s="484"/>
    </row>
    <row r="33" spans="1:14" ht="15.75" thickBot="1">
      <c r="A33" s="1011" t="s">
        <v>213</v>
      </c>
      <c r="B33" s="1012"/>
      <c r="C33" s="1012"/>
      <c r="D33" s="1012"/>
      <c r="E33" s="1012"/>
      <c r="F33" s="1012"/>
      <c r="G33" s="1012"/>
      <c r="H33" s="755">
        <f>H12+H32-K12-K13</f>
        <v>0</v>
      </c>
      <c r="I33" s="722"/>
      <c r="J33" s="738"/>
      <c r="L33" s="747"/>
      <c r="N33" s="747">
        <f>207252.43+58308.72</f>
        <v>265561.15</v>
      </c>
    </row>
    <row r="34" ht="15.75" thickBot="1"/>
    <row r="35" spans="1:9" ht="15.75" thickBot="1">
      <c r="A35" s="998" t="s">
        <v>354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+Hoja1!B130</f>
        <v>93105</v>
      </c>
      <c r="C38" s="447">
        <f>+B38*5</f>
        <v>465525</v>
      </c>
      <c r="D38" s="715">
        <f>+Hoja1!L33</f>
        <v>2.71</v>
      </c>
      <c r="E38" s="447">
        <f>B38*D38</f>
        <v>252314.55</v>
      </c>
      <c r="F38" s="717">
        <f>+Hoja1!L34</f>
        <v>0.69</v>
      </c>
      <c r="G38" s="447">
        <f>B38*F38</f>
        <v>64242.45</v>
      </c>
      <c r="H38" s="717">
        <f>+Hoja1!L35</f>
        <v>1.6</v>
      </c>
      <c r="I38" s="447">
        <f>B38*H38</f>
        <v>148968</v>
      </c>
      <c r="M38" s="94">
        <f>+E38+G38+I38</f>
        <v>465525</v>
      </c>
    </row>
    <row r="39" spans="1:13" ht="15">
      <c r="A39" s="466" t="s">
        <v>212</v>
      </c>
      <c r="B39" s="444">
        <f>+Hoja1!J130</f>
        <v>279465</v>
      </c>
      <c r="C39" s="448">
        <f>+B39*5.06</f>
        <v>1414092.9</v>
      </c>
      <c r="D39" s="690">
        <f>+Hoja1!M33</f>
        <v>2.77</v>
      </c>
      <c r="E39" s="448">
        <f>B39*D39</f>
        <v>774118.05</v>
      </c>
      <c r="F39" s="718">
        <f>+Hoja1!M34</f>
        <v>0.69</v>
      </c>
      <c r="G39" s="448">
        <f>B39*F39</f>
        <v>192830.84999999998</v>
      </c>
      <c r="H39" s="718">
        <f>+Hoja1!M35</f>
        <v>1.6</v>
      </c>
      <c r="I39" s="448">
        <f>B39*H39</f>
        <v>447144</v>
      </c>
      <c r="M39" s="94">
        <f>+E39+G39+I39</f>
        <v>1414092.9</v>
      </c>
    </row>
    <row r="40" spans="1:13" ht="15.75" thickBot="1">
      <c r="A40" s="445" t="s">
        <v>46</v>
      </c>
      <c r="B40" s="446">
        <f>+Hoja1!R130</f>
        <v>34560</v>
      </c>
      <c r="C40" s="468">
        <f>+B40*4.02</f>
        <v>138931.19999999998</v>
      </c>
      <c r="D40" s="689">
        <f>+Hoja1!N33</f>
        <v>2.32</v>
      </c>
      <c r="E40" s="468">
        <f>B40*D40</f>
        <v>80179.2</v>
      </c>
      <c r="F40" s="716">
        <f>+Hoja1!N34</f>
        <v>0.4</v>
      </c>
      <c r="G40" s="468">
        <f>B40*F40</f>
        <v>13824</v>
      </c>
      <c r="H40" s="716">
        <f>+Hoja1!N35</f>
        <v>1.3</v>
      </c>
      <c r="I40" s="468">
        <f>B40*H40</f>
        <v>44928</v>
      </c>
      <c r="M40" s="94">
        <f>+E40+G40+I40</f>
        <v>138931.2</v>
      </c>
    </row>
    <row r="41" spans="1:13" ht="15.75" thickBot="1">
      <c r="A41" s="450" t="s">
        <v>132</v>
      </c>
      <c r="B41" s="467">
        <f>SUM(B38:B40)</f>
        <v>407130</v>
      </c>
      <c r="C41" s="427">
        <f>SUM(C38:C40)</f>
        <v>2018549.0999999999</v>
      </c>
      <c r="D41" s="426"/>
      <c r="E41" s="427">
        <f>SUM(E38:E40)</f>
        <v>1106611.8</v>
      </c>
      <c r="F41" s="426"/>
      <c r="G41" s="427">
        <f>SUM(G38:G40)</f>
        <v>270897.3</v>
      </c>
      <c r="H41" s="426"/>
      <c r="I41" s="427">
        <f>SUM(I38:I40)</f>
        <v>641040</v>
      </c>
      <c r="M41" s="754">
        <f>SUM(M38:M40)</f>
        <v>2018549.0999999999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270897.3</v>
      </c>
      <c r="I44" s="721"/>
      <c r="J44" s="736" t="s">
        <v>355</v>
      </c>
      <c r="K44" s="750">
        <v>270897.3</v>
      </c>
      <c r="L44" s="763"/>
    </row>
    <row r="45" spans="10:12" ht="15.75" thickBot="1">
      <c r="J45" s="736"/>
      <c r="K45" s="750"/>
      <c r="L45" s="760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1106611.8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Hoja1!J56</f>
        <v>1187322.48</v>
      </c>
      <c r="J48" s="736" t="s">
        <v>357</v>
      </c>
      <c r="K48" s="750">
        <v>1187322.48</v>
      </c>
      <c r="L48" s="760"/>
    </row>
    <row r="49" spans="8:12" ht="15">
      <c r="H49" s="759"/>
      <c r="J49" s="736"/>
      <c r="K49" s="750"/>
      <c r="L49" s="760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15.7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6" ht="15.75" thickBot="1">
      <c r="A57" s="470">
        <v>41213</v>
      </c>
      <c r="B57" s="471">
        <f>+Hoja1!AI17</f>
        <v>993740.0283333334</v>
      </c>
      <c r="C57" s="471">
        <f>+Hoja1!AJ17</f>
        <v>1.2673815089586407</v>
      </c>
      <c r="D57" s="471">
        <f>+B57*C57</f>
        <v>1259447.7366217026</v>
      </c>
      <c r="E57" s="471">
        <f>+Hoja1!AL17</f>
        <v>1106611.8</v>
      </c>
      <c r="F57" s="752">
        <f>+Hoja1!AM17</f>
        <v>-0.12135155130109976</v>
      </c>
      <c r="G57" s="471">
        <f>+Hoja1!AN17</f>
        <v>1106611.8</v>
      </c>
      <c r="H57" s="475">
        <f>+G57-I57</f>
        <v>-80710.67999999993</v>
      </c>
      <c r="I57" s="471">
        <f>+Hoja1!R56</f>
        <v>1187322.48</v>
      </c>
      <c r="K57" s="523"/>
      <c r="M57" s="523"/>
      <c r="N57" s="757">
        <f>+E41+G41</f>
        <v>1377509.1</v>
      </c>
      <c r="O57" s="747">
        <v>1106611.8</v>
      </c>
      <c r="P57" s="747">
        <v>270897.3</v>
      </c>
    </row>
    <row r="58" spans="1:16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  <c r="M58" s="523"/>
      <c r="N58" s="757">
        <v>1377509.1</v>
      </c>
      <c r="O58" s="747">
        <f>+K48</f>
        <v>1187322.48</v>
      </c>
      <c r="P58" s="747">
        <f>+K44</f>
        <v>270897.3</v>
      </c>
    </row>
    <row r="59" spans="1:16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  <c r="M59" s="523"/>
      <c r="N59" s="758">
        <f>+N57-N58</f>
        <v>0</v>
      </c>
      <c r="O59" s="758">
        <f>+O57-O58</f>
        <v>-80710.67999999993</v>
      </c>
      <c r="P59" s="758">
        <f>+P57-P58</f>
        <v>0</v>
      </c>
    </row>
    <row r="60" spans="1:16" ht="15">
      <c r="A60" s="477"/>
      <c r="B60" s="478"/>
      <c r="C60" s="1005"/>
      <c r="D60" s="1008"/>
      <c r="E60" s="1005"/>
      <c r="F60" s="478"/>
      <c r="G60" s="478"/>
      <c r="H60" s="479"/>
      <c r="I60" s="478"/>
      <c r="N60" s="747"/>
      <c r="O60" s="1016">
        <f>SUM(O59:P59)</f>
        <v>-80710.67999999993</v>
      </c>
      <c r="P60" s="1016"/>
    </row>
    <row r="61" spans="3:5" ht="18.75" customHeight="1" thickBot="1">
      <c r="C61" s="1006"/>
      <c r="D61" s="1009"/>
      <c r="E61" s="1006"/>
    </row>
    <row r="62" spans="2:16" ht="15.75" thickBot="1">
      <c r="B62" s="480">
        <v>41213</v>
      </c>
      <c r="C62" s="737">
        <f>H46-H48</f>
        <v>-80710.67999999993</v>
      </c>
      <c r="D62" s="427">
        <f>H57</f>
        <v>-80710.67999999993</v>
      </c>
      <c r="E62" s="481">
        <f>(D62-C62)/C62</f>
        <v>0</v>
      </c>
      <c r="F62" s="476"/>
      <c r="M62" s="523"/>
      <c r="N62" s="523"/>
      <c r="O62" s="523"/>
      <c r="P62" s="523"/>
    </row>
    <row r="63" spans="13:16" ht="15.75" thickBot="1">
      <c r="M63" s="523"/>
      <c r="N63" s="523"/>
      <c r="O63" s="523"/>
      <c r="P63" s="523"/>
    </row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-80710.67999999993</v>
      </c>
      <c r="I64" s="721"/>
      <c r="J64" s="484"/>
    </row>
    <row r="65" spans="1:12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-80710.67999999993</v>
      </c>
      <c r="I65" s="721"/>
      <c r="J65" s="738"/>
      <c r="L65" s="747"/>
    </row>
  </sheetData>
  <sheetProtection/>
  <mergeCells count="35">
    <mergeCell ref="O60:P60"/>
    <mergeCell ref="A64:G64"/>
    <mergeCell ref="A65:G65"/>
    <mergeCell ref="A55:A56"/>
    <mergeCell ref="C59:C61"/>
    <mergeCell ref="D59:D61"/>
    <mergeCell ref="E59:E61"/>
    <mergeCell ref="A14:G14"/>
    <mergeCell ref="A53:I54"/>
    <mergeCell ref="A32:G32"/>
    <mergeCell ref="A33:G33"/>
    <mergeCell ref="A35:I35"/>
    <mergeCell ref="A36:A37"/>
    <mergeCell ref="B36:B37"/>
    <mergeCell ref="D36:E36"/>
    <mergeCell ref="F36:G36"/>
    <mergeCell ref="H36:I36"/>
    <mergeCell ref="A44:G44"/>
    <mergeCell ref="A46:G46"/>
    <mergeCell ref="A48:G48"/>
    <mergeCell ref="A23:A24"/>
    <mergeCell ref="C27:C29"/>
    <mergeCell ref="D27:D29"/>
    <mergeCell ref="E27:E29"/>
    <mergeCell ref="C36:C37"/>
    <mergeCell ref="A16:G16"/>
    <mergeCell ref="A21:I22"/>
    <mergeCell ref="A3:I3"/>
    <mergeCell ref="A4:A5"/>
    <mergeCell ref="B4:B5"/>
    <mergeCell ref="C4:C5"/>
    <mergeCell ref="D4:E4"/>
    <mergeCell ref="F4:G4"/>
    <mergeCell ref="H4:I4"/>
    <mergeCell ref="A12:G12"/>
  </mergeCells>
  <printOptions/>
  <pageMargins left="0.75" right="0.17" top="0.4" bottom="0.17" header="0" footer="0"/>
  <pageSetup horizontalDpi="600" verticalDpi="600" orientation="landscape" paperSize="5" scale="86" r:id="rId2"/>
  <rowBreaks count="1" manualBreakCount="1">
    <brk id="33" max="255" man="1"/>
  </rowBreaks>
  <colBreaks count="1" manualBreakCount="1">
    <brk id="12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E34">
      <selection activeCell="N11" sqref="N11:N17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7109375" style="0" bestFit="1" customWidth="1"/>
    <col min="6" max="6" width="11.8515625" style="0" bestFit="1" customWidth="1"/>
    <col min="7" max="7" width="16.57421875" style="0" customWidth="1"/>
    <col min="8" max="8" width="14.8515625" style="0" customWidth="1"/>
    <col min="9" max="9" width="13.28125" style="0" customWidth="1"/>
    <col min="10" max="10" width="18.8515625" style="0" customWidth="1"/>
    <col min="11" max="11" width="16.00390625" style="0" customWidth="1"/>
    <col min="13" max="13" width="13.7109375" style="0" bestFit="1" customWidth="1"/>
    <col min="14" max="14" width="15.8515625" style="0" customWidth="1"/>
    <col min="15" max="15" width="15.140625" style="0" customWidth="1"/>
    <col min="16" max="16" width="14.140625" style="0" bestFit="1" customWidth="1"/>
  </cols>
  <sheetData>
    <row r="2" ht="15.75" thickBot="1"/>
    <row r="3" spans="1:9" ht="15.75" thickBot="1">
      <c r="A3" s="998" t="s">
        <v>360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+Hoja1!B113</f>
        <v>57345</v>
      </c>
      <c r="C6" s="447">
        <f>+B6*5</f>
        <v>286725</v>
      </c>
      <c r="D6" s="715">
        <f>+Hoja1!L33</f>
        <v>2.71</v>
      </c>
      <c r="E6" s="447">
        <f>B6*D6</f>
        <v>155404.95</v>
      </c>
      <c r="F6" s="688">
        <f>+Hoja1!L34</f>
        <v>0.69</v>
      </c>
      <c r="G6" s="447">
        <f>B6*F6</f>
        <v>39568.049999999996</v>
      </c>
      <c r="H6" s="717">
        <f>+Hoja1!L35</f>
        <v>1.6</v>
      </c>
      <c r="I6" s="447">
        <f>B6*H6</f>
        <v>91752</v>
      </c>
      <c r="J6" s="94"/>
      <c r="M6" s="94">
        <f>+E6+G6+I6</f>
        <v>286725</v>
      </c>
    </row>
    <row r="7" spans="1:13" ht="15">
      <c r="A7" s="466" t="s">
        <v>212</v>
      </c>
      <c r="B7" s="740">
        <f>+Hoja1!J113</f>
        <v>127080</v>
      </c>
      <c r="C7" s="448">
        <f>+B7*5.06</f>
        <v>643024.7999999999</v>
      </c>
      <c r="D7" s="690">
        <f>+Hoja1!M33</f>
        <v>2.77</v>
      </c>
      <c r="E7" s="448">
        <f>B7*D7</f>
        <v>352011.6</v>
      </c>
      <c r="F7" s="690">
        <f>+Hoja1!M34</f>
        <v>0.69</v>
      </c>
      <c r="G7" s="448">
        <f>B7*F7</f>
        <v>87685.2</v>
      </c>
      <c r="H7" s="718">
        <f>+Hoja1!M35</f>
        <v>1.6</v>
      </c>
      <c r="I7" s="448">
        <f>B7*H7</f>
        <v>203328</v>
      </c>
      <c r="M7" s="94">
        <f>+E7+G7+I7</f>
        <v>643024.8</v>
      </c>
    </row>
    <row r="8" spans="1:13" ht="15.75" thickBot="1">
      <c r="A8" s="445" t="s">
        <v>46</v>
      </c>
      <c r="B8" s="741">
        <f>+Hoja1!R113</f>
        <v>24120</v>
      </c>
      <c r="C8" s="468">
        <f>+B8*4.02</f>
        <v>96962.4</v>
      </c>
      <c r="D8" s="689">
        <f>+Hoja1!N33</f>
        <v>2.32</v>
      </c>
      <c r="E8" s="468">
        <f>B8*D8</f>
        <v>55958.399999999994</v>
      </c>
      <c r="F8" s="716">
        <f>+Hoja1!N34</f>
        <v>0.4</v>
      </c>
      <c r="G8" s="468">
        <f>B8*F8</f>
        <v>9648</v>
      </c>
      <c r="H8" s="716">
        <f>+Hoja1!N35</f>
        <v>1.3</v>
      </c>
      <c r="I8" s="468">
        <f>B8*H8</f>
        <v>31356</v>
      </c>
      <c r="M8" s="94">
        <f>+E8+G8+I8</f>
        <v>96962.4</v>
      </c>
    </row>
    <row r="9" spans="1:13" ht="15.75" thickBot="1">
      <c r="A9" s="450" t="s">
        <v>132</v>
      </c>
      <c r="B9" s="742">
        <f>SUM(B6:B8)</f>
        <v>208545</v>
      </c>
      <c r="C9" s="427">
        <f>SUM(C6:C8)</f>
        <v>1026712.2</v>
      </c>
      <c r="D9" s="426"/>
      <c r="E9" s="427">
        <f>SUM(E6:E8)</f>
        <v>563374.95</v>
      </c>
      <c r="F9" s="426"/>
      <c r="G9" s="427">
        <f>SUM(G6:G8)</f>
        <v>136901.25</v>
      </c>
      <c r="H9" s="627"/>
      <c r="I9" s="427">
        <f>SUM(I6:I8)</f>
        <v>326436</v>
      </c>
      <c r="M9" s="754">
        <f>SUM(M6:M8)</f>
        <v>1026712.2000000001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136901.25</v>
      </c>
      <c r="I12" s="721"/>
      <c r="J12" s="736" t="s">
        <v>362</v>
      </c>
      <c r="K12" s="750">
        <v>136901.25</v>
      </c>
      <c r="L12" s="763"/>
    </row>
    <row r="13" spans="10:12" ht="15.75" thickBot="1">
      <c r="J13" s="736"/>
      <c r="K13" s="750"/>
      <c r="L13" s="760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563374.95</v>
      </c>
      <c r="J14" s="747"/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451">
        <f>+Hoja1!J74</f>
        <v>514380.73</v>
      </c>
      <c r="J16" s="736" t="s">
        <v>363</v>
      </c>
      <c r="K16" s="750">
        <v>514380.73</v>
      </c>
      <c r="L16" s="760"/>
    </row>
    <row r="17" spans="8:15" ht="15">
      <c r="H17" s="756"/>
      <c r="J17" s="736"/>
      <c r="K17" s="750"/>
      <c r="L17" s="760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15.7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41243</v>
      </c>
      <c r="B25" s="471">
        <f>+Hoja1!X18</f>
        <v>426126.1966666666</v>
      </c>
      <c r="C25" s="471">
        <f>+Hoja1!Y18</f>
        <v>1.2037395215519102</v>
      </c>
      <c r="D25" s="471">
        <f>+B25*C25</f>
        <v>512944.94409626845</v>
      </c>
      <c r="E25" s="471">
        <f>+Hoja1!AA18</f>
        <v>563374.95</v>
      </c>
      <c r="F25" s="752">
        <f>+Hoja1!AB18</f>
        <v>0.09831465634695272</v>
      </c>
      <c r="G25" s="471">
        <f>+Hoja1!AC18</f>
        <v>512944.94409626845</v>
      </c>
      <c r="H25" s="475">
        <f>+G25-I25</f>
        <v>-1435.7859037315357</v>
      </c>
      <c r="I25" s="471">
        <f>+Hoja1!R74</f>
        <v>514380.73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41243</v>
      </c>
      <c r="C30" s="737">
        <f>H14-H16</f>
        <v>48994.21999999997</v>
      </c>
      <c r="D30" s="743">
        <f>H25-I26</f>
        <v>-1435.7859037315357</v>
      </c>
      <c r="E30" s="733">
        <f>(D30-C30)/C30</f>
        <v>-1.029305209956022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48994.21999999997</v>
      </c>
      <c r="I32" s="721"/>
      <c r="J32" s="484"/>
    </row>
    <row r="33" spans="1:14" ht="15.75" thickBot="1">
      <c r="A33" s="1011" t="s">
        <v>213</v>
      </c>
      <c r="B33" s="1012"/>
      <c r="C33" s="1012"/>
      <c r="D33" s="1012"/>
      <c r="E33" s="1012"/>
      <c r="F33" s="1012"/>
      <c r="G33" s="1012"/>
      <c r="H33" s="755">
        <f>H12+H32-K12-K13</f>
        <v>48994.21999999997</v>
      </c>
      <c r="I33" s="722"/>
      <c r="J33" s="738"/>
      <c r="L33" s="747"/>
      <c r="N33" s="747">
        <f>207252.43+58308.72</f>
        <v>265561.15</v>
      </c>
    </row>
    <row r="34" ht="15.75" thickBot="1"/>
    <row r="35" spans="1:9" ht="15.75" thickBot="1">
      <c r="A35" s="998" t="s">
        <v>361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+Hoja1!B131</f>
        <v>97480</v>
      </c>
      <c r="C38" s="447">
        <f>+B38*5</f>
        <v>487400</v>
      </c>
      <c r="D38" s="715">
        <f>+Hoja1!L33</f>
        <v>2.71</v>
      </c>
      <c r="E38" s="447">
        <f>B38*D38</f>
        <v>264170.8</v>
      </c>
      <c r="F38" s="717">
        <f>+Hoja1!L34</f>
        <v>0.69</v>
      </c>
      <c r="G38" s="447">
        <f>B38*F38</f>
        <v>67261.2</v>
      </c>
      <c r="H38" s="717">
        <f>+Hoja1!L35</f>
        <v>1.6</v>
      </c>
      <c r="I38" s="447">
        <f>B38*H38</f>
        <v>155968</v>
      </c>
      <c r="M38" s="94">
        <f>+E38+G38+I38</f>
        <v>487400</v>
      </c>
    </row>
    <row r="39" spans="1:13" ht="15">
      <c r="A39" s="466" t="s">
        <v>212</v>
      </c>
      <c r="B39" s="444">
        <f>+Hoja1!J131</f>
        <v>275370</v>
      </c>
      <c r="C39" s="448">
        <f>+B39*5.06</f>
        <v>1393372.2</v>
      </c>
      <c r="D39" s="690">
        <f>+Hoja1!M33</f>
        <v>2.77</v>
      </c>
      <c r="E39" s="448">
        <f>B39*D39</f>
        <v>762774.9</v>
      </c>
      <c r="F39" s="718">
        <f>+Hoja1!M34</f>
        <v>0.69</v>
      </c>
      <c r="G39" s="448">
        <f>B39*F39</f>
        <v>190005.3</v>
      </c>
      <c r="H39" s="718">
        <f>+Hoja1!M35</f>
        <v>1.6</v>
      </c>
      <c r="I39" s="448">
        <f>B39*H39</f>
        <v>440592</v>
      </c>
      <c r="M39" s="94">
        <f>+E39+G39+I39</f>
        <v>1393372.2</v>
      </c>
    </row>
    <row r="40" spans="1:13" ht="15.75" thickBot="1">
      <c r="A40" s="445" t="s">
        <v>46</v>
      </c>
      <c r="B40" s="446">
        <f>+Hoja1!R131</f>
        <v>36900</v>
      </c>
      <c r="C40" s="468">
        <f>+B40*4.02</f>
        <v>148337.99999999997</v>
      </c>
      <c r="D40" s="689">
        <f>+Hoja1!N33</f>
        <v>2.32</v>
      </c>
      <c r="E40" s="468">
        <f>B40*D40</f>
        <v>85608</v>
      </c>
      <c r="F40" s="716">
        <f>+Hoja1!N34</f>
        <v>0.4</v>
      </c>
      <c r="G40" s="468">
        <f>B40*F40</f>
        <v>14760</v>
      </c>
      <c r="H40" s="716">
        <f>+Hoja1!N35</f>
        <v>1.3</v>
      </c>
      <c r="I40" s="468">
        <f>B40*H40</f>
        <v>47970</v>
      </c>
      <c r="M40" s="94">
        <f>+E40+G40+I40</f>
        <v>148338</v>
      </c>
    </row>
    <row r="41" spans="1:13" ht="15.75" thickBot="1">
      <c r="A41" s="450" t="s">
        <v>132</v>
      </c>
      <c r="B41" s="467">
        <f>SUM(B38:B40)</f>
        <v>409750</v>
      </c>
      <c r="C41" s="427">
        <f>SUM(C38:C40)</f>
        <v>2029110.2</v>
      </c>
      <c r="D41" s="426"/>
      <c r="E41" s="427">
        <f>SUM(E38:E40)</f>
        <v>1112553.7</v>
      </c>
      <c r="F41" s="426"/>
      <c r="G41" s="427">
        <f>SUM(G38:G40)</f>
        <v>272026.5</v>
      </c>
      <c r="H41" s="426"/>
      <c r="I41" s="427">
        <f>SUM(I38:I40)</f>
        <v>644530</v>
      </c>
      <c r="M41" s="754">
        <f>SUM(M38:M40)</f>
        <v>2029110.2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272026.5</v>
      </c>
      <c r="I44" s="721"/>
      <c r="J44" s="736" t="s">
        <v>362</v>
      </c>
      <c r="K44" s="750">
        <v>272026.5</v>
      </c>
      <c r="L44" s="763"/>
    </row>
    <row r="45" spans="10:12" ht="15.75" thickBot="1">
      <c r="J45" s="736"/>
      <c r="K45" s="750"/>
      <c r="L45" s="760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1112553.7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Hoja1!J57</f>
        <v>976717.6</v>
      </c>
      <c r="J48" s="736" t="s">
        <v>364</v>
      </c>
      <c r="K48" s="750">
        <v>976717.6</v>
      </c>
      <c r="L48" s="760"/>
    </row>
    <row r="49" spans="8:12" ht="15">
      <c r="H49" s="759"/>
      <c r="J49" s="736"/>
      <c r="K49" s="750"/>
      <c r="L49" s="760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15.7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6" ht="15.75" thickBot="1">
      <c r="A57" s="470">
        <v>41243</v>
      </c>
      <c r="B57" s="471">
        <f>+Hoja1!AI18</f>
        <v>813637.465</v>
      </c>
      <c r="C57" s="471">
        <f>+Hoja1!AJ18</f>
        <v>1.204004090068737</v>
      </c>
      <c r="D57" s="471">
        <f>+B57*C57</f>
        <v>979622.8356931588</v>
      </c>
      <c r="E57" s="471">
        <f>+Hoja1!AL18</f>
        <v>1112553.7</v>
      </c>
      <c r="F57" s="752">
        <f>+Hoja1!AM18</f>
        <v>0.13569596324567335</v>
      </c>
      <c r="G57" s="471">
        <f>+Hoja1!AN18</f>
        <v>979622.8356931588</v>
      </c>
      <c r="H57" s="475">
        <f>+G57-I57</f>
        <v>2905.2356931588147</v>
      </c>
      <c r="I57" s="471">
        <f>+Hoja1!R57</f>
        <v>976717.6</v>
      </c>
      <c r="K57" s="523"/>
      <c r="M57" s="523"/>
      <c r="N57" s="757">
        <f>+E41+G41</f>
        <v>1384580.2</v>
      </c>
      <c r="O57" s="747">
        <v>1112553.7</v>
      </c>
      <c r="P57" s="747">
        <v>272026.5</v>
      </c>
    </row>
    <row r="58" spans="1:16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  <c r="M58" s="523"/>
      <c r="N58" s="757">
        <v>1384580.2</v>
      </c>
      <c r="O58" s="747">
        <f>+K48</f>
        <v>976717.6</v>
      </c>
      <c r="P58" s="747">
        <f>+K44</f>
        <v>272026.5</v>
      </c>
    </row>
    <row r="59" spans="1:16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  <c r="M59" s="523"/>
      <c r="N59" s="758">
        <f>+N57-N58</f>
        <v>0</v>
      </c>
      <c r="O59" s="758">
        <f>+O57-O58</f>
        <v>135836.09999999998</v>
      </c>
      <c r="P59" s="758">
        <f>+P57-P58</f>
        <v>0</v>
      </c>
    </row>
    <row r="60" spans="1:16" ht="15">
      <c r="A60" s="477"/>
      <c r="B60" s="478"/>
      <c r="C60" s="1005"/>
      <c r="D60" s="1008"/>
      <c r="E60" s="1005"/>
      <c r="F60" s="478"/>
      <c r="G60" s="478"/>
      <c r="H60" s="479"/>
      <c r="I60" s="478"/>
      <c r="N60" s="747"/>
      <c r="O60" s="1016">
        <f>SUM(O59:P59)</f>
        <v>135836.09999999998</v>
      </c>
      <c r="P60" s="1016"/>
    </row>
    <row r="61" spans="3:5" ht="18.75" customHeight="1" thickBot="1">
      <c r="C61" s="1006"/>
      <c r="D61" s="1009"/>
      <c r="E61" s="1006"/>
    </row>
    <row r="62" spans="2:16" ht="15.75" thickBot="1">
      <c r="B62" s="480">
        <v>41243</v>
      </c>
      <c r="C62" s="737">
        <f>H46-H48</f>
        <v>135836.09999999998</v>
      </c>
      <c r="D62" s="427">
        <f>H57</f>
        <v>2905.2356931588147</v>
      </c>
      <c r="E62" s="481">
        <f>(D62-C62)/C62</f>
        <v>-0.9786121973970188</v>
      </c>
      <c r="F62" s="476"/>
      <c r="M62" s="523"/>
      <c r="N62" s="523"/>
      <c r="O62" s="523"/>
      <c r="P62" s="523"/>
    </row>
    <row r="63" spans="13:16" ht="15.75" thickBot="1">
      <c r="M63" s="523"/>
      <c r="N63" s="523"/>
      <c r="O63" s="523"/>
      <c r="P63" s="523"/>
    </row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135836.09999999998</v>
      </c>
      <c r="I64" s="721"/>
      <c r="J64" s="484"/>
    </row>
    <row r="65" spans="1:12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135836.09999999998</v>
      </c>
      <c r="I65" s="721"/>
      <c r="J65" s="738"/>
      <c r="L65" s="747"/>
    </row>
  </sheetData>
  <sheetProtection/>
  <mergeCells count="35">
    <mergeCell ref="O60:P60"/>
    <mergeCell ref="A64:G64"/>
    <mergeCell ref="A65:G65"/>
    <mergeCell ref="A55:A56"/>
    <mergeCell ref="C59:C61"/>
    <mergeCell ref="D59:D61"/>
    <mergeCell ref="E59:E61"/>
    <mergeCell ref="A14:G14"/>
    <mergeCell ref="A53:I54"/>
    <mergeCell ref="A32:G32"/>
    <mergeCell ref="A33:G33"/>
    <mergeCell ref="A35:I35"/>
    <mergeCell ref="A36:A37"/>
    <mergeCell ref="B36:B37"/>
    <mergeCell ref="D36:E36"/>
    <mergeCell ref="F36:G36"/>
    <mergeCell ref="H36:I36"/>
    <mergeCell ref="A44:G44"/>
    <mergeCell ref="A46:G46"/>
    <mergeCell ref="A48:G48"/>
    <mergeCell ref="A23:A24"/>
    <mergeCell ref="C27:C29"/>
    <mergeCell ref="D27:D29"/>
    <mergeCell ref="E27:E29"/>
    <mergeCell ref="C36:C37"/>
    <mergeCell ref="A16:G16"/>
    <mergeCell ref="A21:I22"/>
    <mergeCell ref="A3:I3"/>
    <mergeCell ref="A4:A5"/>
    <mergeCell ref="B4:B5"/>
    <mergeCell ref="C4:C5"/>
    <mergeCell ref="D4:E4"/>
    <mergeCell ref="F4:G4"/>
    <mergeCell ref="H4:I4"/>
    <mergeCell ref="A12:G12"/>
  </mergeCells>
  <printOptions/>
  <pageMargins left="0.37" right="0.45" top="0.62" bottom="0.34" header="0" footer="0"/>
  <pageSetup horizontalDpi="600" verticalDpi="600" orientation="landscape" paperSize="5" scale="87" r:id="rId1"/>
  <rowBreaks count="1" manualBreakCount="1">
    <brk id="33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E51">
      <selection activeCell="G59" sqref="G59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7109375" style="0" bestFit="1" customWidth="1"/>
    <col min="6" max="6" width="11.8515625" style="0" bestFit="1" customWidth="1"/>
    <col min="7" max="7" width="16.57421875" style="0" customWidth="1"/>
    <col min="8" max="8" width="14.8515625" style="0" customWidth="1"/>
    <col min="9" max="9" width="13.28125" style="0" customWidth="1"/>
    <col min="10" max="10" width="18.8515625" style="0" customWidth="1"/>
    <col min="11" max="11" width="16.00390625" style="0" customWidth="1"/>
    <col min="13" max="13" width="13.7109375" style="0" bestFit="1" customWidth="1"/>
    <col min="14" max="14" width="15.8515625" style="0" customWidth="1"/>
    <col min="15" max="15" width="15.140625" style="0" customWidth="1"/>
    <col min="16" max="16" width="14.140625" style="0" bestFit="1" customWidth="1"/>
  </cols>
  <sheetData>
    <row r="2" ht="15.75" thickBot="1"/>
    <row r="3" spans="1:9" ht="15.75" thickBot="1">
      <c r="A3" s="998" t="s">
        <v>365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+Hoja1!B114</f>
        <v>51020</v>
      </c>
      <c r="C6" s="447">
        <f>+B6*5</f>
        <v>255100</v>
      </c>
      <c r="D6" s="715">
        <f>+Hoja1!L33</f>
        <v>2.71</v>
      </c>
      <c r="E6" s="447">
        <f>B6*D6</f>
        <v>138264.2</v>
      </c>
      <c r="F6" s="688">
        <f>+Hoja1!L34</f>
        <v>0.69</v>
      </c>
      <c r="G6" s="447">
        <f>B6*F6</f>
        <v>35203.799999999996</v>
      </c>
      <c r="H6" s="717">
        <f>+Hoja1!L35</f>
        <v>1.6</v>
      </c>
      <c r="I6" s="447">
        <f>B6*H6</f>
        <v>81632</v>
      </c>
      <c r="J6" s="94"/>
      <c r="M6" s="94">
        <f>+E6+G6+I6</f>
        <v>255100</v>
      </c>
    </row>
    <row r="7" spans="1:13" ht="15">
      <c r="A7" s="466" t="s">
        <v>212</v>
      </c>
      <c r="B7" s="740">
        <f>+Hoja1!J114</f>
        <v>119340</v>
      </c>
      <c r="C7" s="448">
        <f>+B7*5.06</f>
        <v>603860.3999999999</v>
      </c>
      <c r="D7" s="690">
        <f>+Hoja1!M33</f>
        <v>2.77</v>
      </c>
      <c r="E7" s="448">
        <f>B7*D7</f>
        <v>330571.8</v>
      </c>
      <c r="F7" s="690">
        <f>+Hoja1!M34</f>
        <v>0.69</v>
      </c>
      <c r="G7" s="448">
        <f>B7*F7</f>
        <v>82344.59999999999</v>
      </c>
      <c r="H7" s="718">
        <f>+Hoja1!M35</f>
        <v>1.6</v>
      </c>
      <c r="I7" s="448">
        <f>B7*H7</f>
        <v>190944</v>
      </c>
      <c r="M7" s="94">
        <f>+E7+G7+I7</f>
        <v>603860.3999999999</v>
      </c>
    </row>
    <row r="8" spans="1:13" ht="15.75" thickBot="1">
      <c r="A8" s="445" t="s">
        <v>46</v>
      </c>
      <c r="B8" s="741">
        <f>+Hoja1!R114</f>
        <v>25740</v>
      </c>
      <c r="C8" s="468">
        <f>+B8*4.02</f>
        <v>103474.79999999999</v>
      </c>
      <c r="D8" s="689">
        <f>+Hoja1!N33</f>
        <v>2.32</v>
      </c>
      <c r="E8" s="468">
        <f>B8*D8</f>
        <v>59716.799999999996</v>
      </c>
      <c r="F8" s="716">
        <f>+Hoja1!N34</f>
        <v>0.4</v>
      </c>
      <c r="G8" s="468">
        <f>B8*F8</f>
        <v>10296</v>
      </c>
      <c r="H8" s="716">
        <f>+Hoja1!N35</f>
        <v>1.3</v>
      </c>
      <c r="I8" s="468">
        <f>B8*H8</f>
        <v>33462</v>
      </c>
      <c r="M8" s="94">
        <f>+E8+G8+I8</f>
        <v>103474.79999999999</v>
      </c>
    </row>
    <row r="9" spans="1:13" ht="15.75" thickBot="1">
      <c r="A9" s="450" t="s">
        <v>132</v>
      </c>
      <c r="B9" s="742">
        <f>SUM(B6:B8)</f>
        <v>196100</v>
      </c>
      <c r="C9" s="427">
        <f>SUM(C6:C8)</f>
        <v>962435.2</v>
      </c>
      <c r="D9" s="426"/>
      <c r="E9" s="427">
        <f>SUM(E6:E8)</f>
        <v>528552.8</v>
      </c>
      <c r="F9" s="426"/>
      <c r="G9" s="427">
        <f>SUM(G6:G8)</f>
        <v>127844.4</v>
      </c>
      <c r="H9" s="627"/>
      <c r="I9" s="427">
        <f>SUM(I6:I8)</f>
        <v>306038</v>
      </c>
      <c r="M9" s="754">
        <f>SUM(M6:M8)</f>
        <v>962435.2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127844.4</v>
      </c>
      <c r="I12" s="721" t="s">
        <v>267</v>
      </c>
      <c r="J12" s="736" t="s">
        <v>367</v>
      </c>
      <c r="K12" s="750">
        <v>130302.04</v>
      </c>
      <c r="L12" s="763" t="s">
        <v>301</v>
      </c>
    </row>
    <row r="13" spans="10:12" ht="15.75" thickBot="1">
      <c r="J13" s="736"/>
      <c r="K13" s="750"/>
      <c r="L13" s="760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528552.8</v>
      </c>
      <c r="J14" s="747"/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451">
        <f>+Hoja1!J75</f>
        <v>526095.16</v>
      </c>
      <c r="J16" s="736" t="s">
        <v>299</v>
      </c>
      <c r="K16" s="750">
        <v>526095.16</v>
      </c>
      <c r="L16" s="760"/>
    </row>
    <row r="17" spans="8:15" ht="15">
      <c r="H17" s="756"/>
      <c r="J17" s="736"/>
      <c r="K17" s="750"/>
      <c r="L17" s="760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15.7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41274</v>
      </c>
      <c r="B25" s="471">
        <f>+Hoja1!X19</f>
        <v>504952.3116666667</v>
      </c>
      <c r="C25" s="471">
        <f>+Hoja1!Y19</f>
        <v>1.2019015071991301</v>
      </c>
      <c r="D25" s="471">
        <f>+B25*C25</f>
        <v>606902.9444558516</v>
      </c>
      <c r="E25" s="471">
        <f>+Hoja1!AA19</f>
        <v>528552.8</v>
      </c>
      <c r="F25" s="752">
        <f>+Hoja1!AB19</f>
        <v>-0.12909830998776942</v>
      </c>
      <c r="G25" s="471">
        <f>+Hoja1!AC19</f>
        <v>528552.8</v>
      </c>
      <c r="H25" s="475">
        <f>+G25-I25</f>
        <v>2457.640000000014</v>
      </c>
      <c r="I25" s="471">
        <f>+Hoja1!R75</f>
        <v>526095.16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41274</v>
      </c>
      <c r="C30" s="737">
        <f>H14-H16</f>
        <v>2457.640000000014</v>
      </c>
      <c r="D30" s="743">
        <f>H25-I26</f>
        <v>2457.640000000014</v>
      </c>
      <c r="E30" s="733">
        <f>(D30-C30)/C30</f>
        <v>0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2457.640000000014</v>
      </c>
      <c r="I32" s="721" t="s">
        <v>300</v>
      </c>
      <c r="J32" s="484"/>
    </row>
    <row r="33" spans="1:14" ht="15.75" thickBot="1">
      <c r="A33" s="1011" t="s">
        <v>213</v>
      </c>
      <c r="B33" s="1012"/>
      <c r="C33" s="1012"/>
      <c r="D33" s="1012"/>
      <c r="E33" s="1012"/>
      <c r="F33" s="1012"/>
      <c r="G33" s="1012"/>
      <c r="H33" s="755">
        <f>H12+H32-K12-K13</f>
        <v>1.4551915228366852E-11</v>
      </c>
      <c r="I33" s="722"/>
      <c r="J33" s="738"/>
      <c r="L33" s="747"/>
      <c r="N33" s="747">
        <v>2427.64</v>
      </c>
    </row>
    <row r="34" ht="15.75" thickBot="1"/>
    <row r="35" spans="1:9" ht="15.75" thickBot="1">
      <c r="A35" s="998" t="s">
        <v>366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+Hoja1!B132</f>
        <v>96735</v>
      </c>
      <c r="C38" s="447">
        <f>+B38*5</f>
        <v>483675</v>
      </c>
      <c r="D38" s="715">
        <f>+Hoja1!L33</f>
        <v>2.71</v>
      </c>
      <c r="E38" s="447">
        <f>B38*D38</f>
        <v>262151.85</v>
      </c>
      <c r="F38" s="717">
        <f>+Hoja1!L34</f>
        <v>0.69</v>
      </c>
      <c r="G38" s="447">
        <f>B38*F38</f>
        <v>66747.15</v>
      </c>
      <c r="H38" s="717">
        <f>+Hoja1!L35</f>
        <v>1.6</v>
      </c>
      <c r="I38" s="447">
        <f>B38*H38</f>
        <v>154776</v>
      </c>
      <c r="M38" s="94">
        <f>+E38+G38+I38</f>
        <v>483675</v>
      </c>
    </row>
    <row r="39" spans="1:13" ht="15">
      <c r="A39" s="466" t="s">
        <v>212</v>
      </c>
      <c r="B39" s="444">
        <f>+Hoja1!J132</f>
        <v>259800</v>
      </c>
      <c r="C39" s="448">
        <f>+B39*5.06</f>
        <v>1314588</v>
      </c>
      <c r="D39" s="690">
        <f>+Hoja1!M33</f>
        <v>2.77</v>
      </c>
      <c r="E39" s="448">
        <f>B39*D39</f>
        <v>719646</v>
      </c>
      <c r="F39" s="718">
        <f>+Hoja1!M34</f>
        <v>0.69</v>
      </c>
      <c r="G39" s="448">
        <f>B39*F39</f>
        <v>179262</v>
      </c>
      <c r="H39" s="718">
        <f>+Hoja1!M35</f>
        <v>1.6</v>
      </c>
      <c r="I39" s="448">
        <f>B39*H39</f>
        <v>415680</v>
      </c>
      <c r="M39" s="94">
        <f>+E39+G39+I39</f>
        <v>1314588</v>
      </c>
    </row>
    <row r="40" spans="1:13" ht="15.75" thickBot="1">
      <c r="A40" s="445" t="s">
        <v>46</v>
      </c>
      <c r="B40" s="446">
        <f>+Hoja1!R132</f>
        <v>35640</v>
      </c>
      <c r="C40" s="468">
        <f>+B40*4.02</f>
        <v>143272.8</v>
      </c>
      <c r="D40" s="689">
        <f>+Hoja1!N33</f>
        <v>2.32</v>
      </c>
      <c r="E40" s="468">
        <f>B40*D40</f>
        <v>82684.79999999999</v>
      </c>
      <c r="F40" s="716">
        <f>+Hoja1!N34</f>
        <v>0.4</v>
      </c>
      <c r="G40" s="468">
        <f>B40*F40</f>
        <v>14256</v>
      </c>
      <c r="H40" s="716">
        <f>+Hoja1!N35</f>
        <v>1.3</v>
      </c>
      <c r="I40" s="468">
        <f>B40*H40</f>
        <v>46332</v>
      </c>
      <c r="M40" s="94">
        <f>+E40+G40+I40</f>
        <v>143272.8</v>
      </c>
    </row>
    <row r="41" spans="1:13" ht="15.75" thickBot="1">
      <c r="A41" s="450" t="s">
        <v>132</v>
      </c>
      <c r="B41" s="467">
        <f>SUM(B38:B40)</f>
        <v>392175</v>
      </c>
      <c r="C41" s="427">
        <f>SUM(C38:C40)</f>
        <v>1941535.8</v>
      </c>
      <c r="D41" s="426"/>
      <c r="E41" s="427">
        <f>SUM(E38:E40)</f>
        <v>1064482.65</v>
      </c>
      <c r="F41" s="426"/>
      <c r="G41" s="427">
        <f>SUM(G38:G40)</f>
        <v>260265.15</v>
      </c>
      <c r="H41" s="426"/>
      <c r="I41" s="427">
        <f>SUM(I38:I40)</f>
        <v>616788</v>
      </c>
      <c r="M41" s="754">
        <f>SUM(M38:M40)</f>
        <v>1941535.8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260265.15</v>
      </c>
      <c r="I44" s="721" t="s">
        <v>267</v>
      </c>
      <c r="J44" s="736" t="s">
        <v>367</v>
      </c>
      <c r="K44" s="750">
        <f>260265.15+191643</f>
        <v>451908.15</v>
      </c>
      <c r="L44" s="763" t="s">
        <v>301</v>
      </c>
    </row>
    <row r="45" spans="10:12" ht="15.75" thickBot="1">
      <c r="J45" s="736"/>
      <c r="K45" s="750"/>
      <c r="L45" s="760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1064482.65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Hoja1!J58</f>
        <v>872839.65</v>
      </c>
      <c r="J48" s="736" t="s">
        <v>303</v>
      </c>
      <c r="K48" s="750">
        <v>872839.65</v>
      </c>
      <c r="L48" s="760"/>
    </row>
    <row r="49" spans="8:12" ht="15">
      <c r="H49" s="759"/>
      <c r="J49" s="736"/>
      <c r="K49" s="750"/>
      <c r="L49" s="760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15.7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6" ht="15.75" thickBot="1">
      <c r="A57" s="470">
        <v>41274</v>
      </c>
      <c r="B57" s="471">
        <f>+Hoja1!AI19</f>
        <v>728675.295</v>
      </c>
      <c r="C57" s="471">
        <f>+Hoja1!AJ19</f>
        <v>1.2042537875727117</v>
      </c>
      <c r="D57" s="471">
        <f>+B57*C57</f>
        <v>877509.9839144131</v>
      </c>
      <c r="E57" s="471">
        <f>+Hoja1!AL19</f>
        <v>1064482.65</v>
      </c>
      <c r="F57" s="752">
        <f>+Hoja1!AM19</f>
        <v>0.2130718390821442</v>
      </c>
      <c r="G57" s="471">
        <f>+Hoja1!AN19</f>
        <v>877509.9839144131</v>
      </c>
      <c r="H57" s="475">
        <f>+G57-I57</f>
        <v>4670.333914413117</v>
      </c>
      <c r="I57" s="471">
        <f>+Hoja1!R58</f>
        <v>872839.65</v>
      </c>
      <c r="K57" s="523"/>
      <c r="M57" s="523"/>
      <c r="N57" s="757">
        <f>+E41+G41</f>
        <v>1324747.7999999998</v>
      </c>
      <c r="O57" s="747">
        <v>1064482.65</v>
      </c>
      <c r="P57" s="747">
        <v>260265.15</v>
      </c>
    </row>
    <row r="58" spans="1:16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  <c r="M58" s="523"/>
      <c r="N58" s="757">
        <v>1324747.8</v>
      </c>
      <c r="O58" s="747">
        <f>+K48</f>
        <v>872839.65</v>
      </c>
      <c r="P58" s="747">
        <f>+K44</f>
        <v>451908.15</v>
      </c>
    </row>
    <row r="59" spans="1:16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  <c r="M59" s="523"/>
      <c r="N59" s="758">
        <f>+N57-N58</f>
        <v>0</v>
      </c>
      <c r="O59" s="758">
        <f>+O57-O58</f>
        <v>191642.99999999988</v>
      </c>
      <c r="P59" s="758">
        <f>+P57-P58</f>
        <v>-191643.00000000003</v>
      </c>
    </row>
    <row r="60" spans="1:16" ht="15">
      <c r="A60" s="477"/>
      <c r="B60" s="478"/>
      <c r="C60" s="1005"/>
      <c r="D60" s="1008"/>
      <c r="E60" s="1005"/>
      <c r="F60" s="478"/>
      <c r="G60" s="478"/>
      <c r="H60" s="479"/>
      <c r="I60" s="478"/>
      <c r="N60" s="747"/>
      <c r="O60" s="1016">
        <f>SUM(O59:P59)</f>
        <v>0</v>
      </c>
      <c r="P60" s="1016"/>
    </row>
    <row r="61" spans="3:5" ht="18.75" customHeight="1" thickBot="1">
      <c r="C61" s="1006"/>
      <c r="D61" s="1009"/>
      <c r="E61" s="1006"/>
    </row>
    <row r="62" spans="2:16" ht="15.75" thickBot="1">
      <c r="B62" s="480">
        <v>41274</v>
      </c>
      <c r="C62" s="737">
        <f>H46-H48</f>
        <v>191642.99999999988</v>
      </c>
      <c r="D62" s="427">
        <f>H57</f>
        <v>4670.333914413117</v>
      </c>
      <c r="E62" s="481">
        <f>(D62-C62)/C62</f>
        <v>-0.9756300312851859</v>
      </c>
      <c r="F62" s="476"/>
      <c r="M62" s="523"/>
      <c r="N62" s="523"/>
      <c r="O62" s="523"/>
      <c r="P62" s="523"/>
    </row>
    <row r="63" spans="13:16" ht="15.75" thickBot="1">
      <c r="M63" s="523"/>
      <c r="N63" s="523"/>
      <c r="O63" s="523"/>
      <c r="P63" s="523"/>
    </row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191642.99999999988</v>
      </c>
      <c r="I64" s="721" t="s">
        <v>300</v>
      </c>
      <c r="J64" s="484"/>
    </row>
    <row r="65" spans="1:12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</f>
        <v>0</v>
      </c>
      <c r="I65" s="721"/>
      <c r="J65" s="738"/>
      <c r="L65" s="747"/>
    </row>
  </sheetData>
  <sheetProtection/>
  <mergeCells count="35">
    <mergeCell ref="O60:P60"/>
    <mergeCell ref="A64:G64"/>
    <mergeCell ref="A65:G65"/>
    <mergeCell ref="A55:A56"/>
    <mergeCell ref="C59:C61"/>
    <mergeCell ref="D59:D61"/>
    <mergeCell ref="E59:E61"/>
    <mergeCell ref="A14:G14"/>
    <mergeCell ref="A53:I54"/>
    <mergeCell ref="A32:G32"/>
    <mergeCell ref="A33:G33"/>
    <mergeCell ref="A35:I35"/>
    <mergeCell ref="A36:A37"/>
    <mergeCell ref="B36:B37"/>
    <mergeCell ref="D36:E36"/>
    <mergeCell ref="F36:G36"/>
    <mergeCell ref="H36:I36"/>
    <mergeCell ref="A44:G44"/>
    <mergeCell ref="A46:G46"/>
    <mergeCell ref="A48:G48"/>
    <mergeCell ref="A23:A24"/>
    <mergeCell ref="C27:C29"/>
    <mergeCell ref="D27:D29"/>
    <mergeCell ref="E27:E29"/>
    <mergeCell ref="C36:C37"/>
    <mergeCell ref="A16:G16"/>
    <mergeCell ref="A21:I22"/>
    <mergeCell ref="A3:I3"/>
    <mergeCell ref="A4:A5"/>
    <mergeCell ref="B4:B5"/>
    <mergeCell ref="C4:C5"/>
    <mergeCell ref="D4:E4"/>
    <mergeCell ref="F4:G4"/>
    <mergeCell ref="H4:I4"/>
    <mergeCell ref="A12:G12"/>
  </mergeCells>
  <printOptions/>
  <pageMargins left="0.75" right="0.75" top="0.64" bottom="0.39" header="0.62" footer="0"/>
  <pageSetup horizontalDpi="600" verticalDpi="600" orientation="landscape" paperSize="5" scale="82" r:id="rId1"/>
  <rowBreaks count="1" manualBreakCount="1">
    <brk id="3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4:J21"/>
  <sheetViews>
    <sheetView zoomScalePageLayoutView="0" workbookViewId="0" topLeftCell="A1">
      <selection activeCell="J19" sqref="J19"/>
    </sheetView>
  </sheetViews>
  <sheetFormatPr defaultColWidth="11.421875" defaultRowHeight="15"/>
  <cols>
    <col min="2" max="2" width="11.57421875" style="0" bestFit="1" customWidth="1"/>
    <col min="4" max="4" width="13.421875" style="0" bestFit="1" customWidth="1"/>
    <col min="7" max="7" width="11.57421875" style="0" bestFit="1" customWidth="1"/>
    <col min="9" max="9" width="15.7109375" style="0" customWidth="1"/>
    <col min="10" max="10" width="13.140625" style="0" bestFit="1" customWidth="1"/>
  </cols>
  <sheetData>
    <row r="4" spans="2:7" ht="15">
      <c r="B4" s="452" t="s">
        <v>368</v>
      </c>
      <c r="G4" s="452" t="s">
        <v>369</v>
      </c>
    </row>
    <row r="6" spans="4:9" ht="15">
      <c r="D6" t="s">
        <v>370</v>
      </c>
      <c r="I6" t="s">
        <v>370</v>
      </c>
    </row>
    <row r="7" spans="2:9" ht="15">
      <c r="B7" s="764">
        <v>40909</v>
      </c>
      <c r="D7" s="747">
        <v>0</v>
      </c>
      <c r="G7" s="764">
        <v>40909</v>
      </c>
      <c r="I7" s="747">
        <v>0</v>
      </c>
    </row>
    <row r="8" spans="2:9" ht="15">
      <c r="B8" s="764">
        <v>40940</v>
      </c>
      <c r="D8" s="747">
        <v>0</v>
      </c>
      <c r="G8" s="764">
        <v>40940</v>
      </c>
      <c r="I8" s="747">
        <f>+'ART.25 DN 786-02- FEB-12'!H65</f>
        <v>100071.08000000005</v>
      </c>
    </row>
    <row r="9" spans="2:9" ht="15">
      <c r="B9" s="764">
        <v>40969</v>
      </c>
      <c r="D9" s="747">
        <v>0</v>
      </c>
      <c r="G9" s="764">
        <v>40969</v>
      </c>
      <c r="I9" s="747">
        <f>+'ART.25 DN 786-02 MAR-12'!H65</f>
        <v>146533.56000000003</v>
      </c>
    </row>
    <row r="10" spans="2:9" ht="15">
      <c r="B10" s="764">
        <v>41000</v>
      </c>
      <c r="D10" s="747">
        <v>0</v>
      </c>
      <c r="G10" s="764">
        <v>41000</v>
      </c>
      <c r="I10" s="747">
        <v>0</v>
      </c>
    </row>
    <row r="11" spans="2:9" ht="15">
      <c r="B11" s="764">
        <v>41030</v>
      </c>
      <c r="D11" s="747">
        <f>+'ART. 25 DN 786-02 MAY-12'!H33</f>
        <v>301236.1193171383</v>
      </c>
      <c r="G11" s="764">
        <v>41030</v>
      </c>
      <c r="I11" s="747">
        <f>+'ART. 25 DN 786-02 MAY-12'!H65</f>
        <v>575193.7912525088</v>
      </c>
    </row>
    <row r="12" spans="2:9" ht="15">
      <c r="B12" s="764">
        <v>41061</v>
      </c>
      <c r="D12" s="747">
        <f>+'ART.25 DN 786-02 JUN-12'!H33</f>
        <v>265561.1009766632</v>
      </c>
      <c r="G12" s="764">
        <v>41061</v>
      </c>
      <c r="I12" s="747">
        <f>+'ART.25 DN 786-02 JUN-12'!H65</f>
        <v>325824.63588212064</v>
      </c>
    </row>
    <row r="13" spans="2:9" ht="15">
      <c r="B13" s="764">
        <v>41091</v>
      </c>
      <c r="D13" s="747">
        <v>0</v>
      </c>
      <c r="G13" s="764">
        <v>41091</v>
      </c>
      <c r="I13" s="747">
        <f>+'ART.25 DN 786-02 JUL-12'!H65</f>
        <v>23.040000000139116</v>
      </c>
    </row>
    <row r="14" spans="2:9" ht="15">
      <c r="B14" s="764">
        <v>41122</v>
      </c>
      <c r="D14" s="747">
        <v>0</v>
      </c>
      <c r="G14" s="764">
        <v>41122</v>
      </c>
      <c r="I14" s="747">
        <f>+'ART.25 DN 786-02 AGO-12'!H65</f>
        <v>2013.5699999998324</v>
      </c>
    </row>
    <row r="15" spans="2:9" ht="15">
      <c r="B15" s="764">
        <v>41153</v>
      </c>
      <c r="D15" s="747">
        <v>0</v>
      </c>
      <c r="G15" s="764">
        <v>41153</v>
      </c>
      <c r="I15" s="747">
        <f>+'ART.25 DN 786-02 SEP-12'!H65</f>
        <v>107865.90000000014</v>
      </c>
    </row>
    <row r="16" spans="2:10" ht="15">
      <c r="B16" s="764">
        <v>41183</v>
      </c>
      <c r="D16" s="747">
        <v>0</v>
      </c>
      <c r="G16" s="764">
        <v>41183</v>
      </c>
      <c r="I16" s="747">
        <f>+'ART.25 DN 786-02 OCT-12'!H65</f>
        <v>-80710.67999999993</v>
      </c>
      <c r="J16" s="747"/>
    </row>
    <row r="17" spans="2:9" ht="15">
      <c r="B17" s="764">
        <v>41214</v>
      </c>
      <c r="D17" s="747">
        <f>+'ART.25 DN 786-02 NOV-12'!H33</f>
        <v>48994.21999999997</v>
      </c>
      <c r="G17" s="764">
        <v>41214</v>
      </c>
      <c r="I17" s="747">
        <f>+'ART.25 DN 786-02 NOV-12'!H65</f>
        <v>135836.09999999998</v>
      </c>
    </row>
    <row r="18" spans="2:9" ht="15">
      <c r="B18" s="764">
        <v>41244</v>
      </c>
      <c r="D18" s="747">
        <f>+'ART. 25 DN 786-02 DIC-12'!H33</f>
        <v>1.4551915228366852E-11</v>
      </c>
      <c r="G18" s="764">
        <v>41244</v>
      </c>
      <c r="I18" s="747">
        <f>+'ART. 25 DN 786-02 DIC-12'!H65</f>
        <v>0</v>
      </c>
    </row>
    <row r="19" spans="4:10" ht="15">
      <c r="D19" s="758">
        <f>SUM(D7:D18)</f>
        <v>615791.4402938015</v>
      </c>
      <c r="I19" s="758">
        <f>SUM(I7:I18)</f>
        <v>1312650.9971346296</v>
      </c>
      <c r="J19" s="747">
        <f>+I19+D19</f>
        <v>1928442.4374284311</v>
      </c>
    </row>
    <row r="20" spans="4:9" ht="15">
      <c r="D20" s="747"/>
      <c r="I20" s="747"/>
    </row>
    <row r="21" spans="4:9" ht="15">
      <c r="D21" s="747"/>
      <c r="I21" s="747"/>
    </row>
  </sheetData>
  <sheetProtection/>
  <printOptions/>
  <pageMargins left="0.96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C4">
      <selection activeCell="Q10" sqref="Q10"/>
    </sheetView>
  </sheetViews>
  <sheetFormatPr defaultColWidth="11.421875" defaultRowHeight="15"/>
  <cols>
    <col min="1" max="1" width="9.421875" style="0" customWidth="1"/>
    <col min="2" max="2" width="9.7109375" style="0" customWidth="1"/>
    <col min="3" max="3" width="9.00390625" style="0" customWidth="1"/>
    <col min="4" max="4" width="9.28125" style="0" customWidth="1"/>
    <col min="5" max="5" width="7.7109375" style="0" customWidth="1"/>
    <col min="6" max="6" width="8.7109375" style="0" customWidth="1"/>
    <col min="7" max="7" width="9.7109375" style="0" customWidth="1"/>
    <col min="8" max="10" width="9.140625" style="0" customWidth="1"/>
    <col min="11" max="11" width="8.7109375" style="0" customWidth="1"/>
    <col min="12" max="13" width="8.28125" style="0" customWidth="1"/>
    <col min="14" max="14" width="8.00390625" style="0" customWidth="1"/>
    <col min="15" max="15" width="7.421875" style="0" customWidth="1"/>
    <col min="16" max="16" width="8.421875" style="0" customWidth="1"/>
    <col min="17" max="18" width="10.140625" style="0" customWidth="1"/>
    <col min="19" max="19" width="9.28125" style="0" customWidth="1"/>
    <col min="20" max="20" width="10.00390625" style="0" customWidth="1"/>
    <col min="21" max="21" width="8.421875" style="0" customWidth="1"/>
  </cols>
  <sheetData>
    <row r="2" spans="1:21" ht="15.75" thickBot="1">
      <c r="A2" s="482"/>
      <c r="B2" s="973"/>
      <c r="C2" s="973"/>
      <c r="D2" s="973"/>
      <c r="E2" s="483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482"/>
      <c r="R2" s="482"/>
      <c r="S2" s="482"/>
      <c r="T2" s="482"/>
      <c r="U2" s="482"/>
    </row>
    <row r="3" spans="1:21" ht="15" customHeight="1" thickBot="1">
      <c r="A3" s="974" t="s">
        <v>194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  <c r="U3" s="976"/>
    </row>
    <row r="4" spans="1:21" ht="18" customHeight="1" thickBot="1">
      <c r="A4" s="964" t="s">
        <v>193</v>
      </c>
      <c r="B4" s="977" t="s">
        <v>191</v>
      </c>
      <c r="C4" s="978"/>
      <c r="D4" s="978"/>
      <c r="E4" s="978"/>
      <c r="F4" s="979"/>
      <c r="G4" s="974" t="s">
        <v>192</v>
      </c>
      <c r="H4" s="975"/>
      <c r="I4" s="975"/>
      <c r="J4" s="975"/>
      <c r="K4" s="976"/>
      <c r="L4" s="974" t="s">
        <v>46</v>
      </c>
      <c r="M4" s="975"/>
      <c r="N4" s="975"/>
      <c r="O4" s="975"/>
      <c r="P4" s="976"/>
      <c r="Q4" s="974" t="s">
        <v>27</v>
      </c>
      <c r="R4" s="975"/>
      <c r="S4" s="975"/>
      <c r="T4" s="975"/>
      <c r="U4" s="976"/>
    </row>
    <row r="5" spans="1:21" ht="15">
      <c r="A5" s="965"/>
      <c r="B5" s="980" t="s">
        <v>190</v>
      </c>
      <c r="C5" s="982" t="s">
        <v>197</v>
      </c>
      <c r="D5" s="970" t="s">
        <v>198</v>
      </c>
      <c r="E5" s="970" t="s">
        <v>195</v>
      </c>
      <c r="F5" s="970" t="s">
        <v>235</v>
      </c>
      <c r="G5" s="970" t="s">
        <v>190</v>
      </c>
      <c r="H5" s="968" t="s">
        <v>197</v>
      </c>
      <c r="I5" s="970" t="s">
        <v>199</v>
      </c>
      <c r="J5" s="970" t="s">
        <v>195</v>
      </c>
      <c r="K5" s="970" t="s">
        <v>235</v>
      </c>
      <c r="L5" s="970" t="s">
        <v>190</v>
      </c>
      <c r="M5" s="968" t="s">
        <v>197</v>
      </c>
      <c r="N5" s="970" t="s">
        <v>198</v>
      </c>
      <c r="O5" s="970" t="s">
        <v>195</v>
      </c>
      <c r="P5" s="970" t="s">
        <v>196</v>
      </c>
      <c r="Q5" s="970" t="s">
        <v>190</v>
      </c>
      <c r="R5" s="968" t="s">
        <v>197</v>
      </c>
      <c r="S5" s="970" t="s">
        <v>198</v>
      </c>
      <c r="T5" s="970" t="s">
        <v>195</v>
      </c>
      <c r="U5" s="970" t="s">
        <v>196</v>
      </c>
    </row>
    <row r="6" spans="1:21" ht="47.25" customHeight="1" thickBot="1">
      <c r="A6" s="966"/>
      <c r="B6" s="981"/>
      <c r="C6" s="983"/>
      <c r="D6" s="971"/>
      <c r="E6" s="971"/>
      <c r="F6" s="972"/>
      <c r="G6" s="971"/>
      <c r="H6" s="969"/>
      <c r="I6" s="971"/>
      <c r="J6" s="971"/>
      <c r="K6" s="972"/>
      <c r="L6" s="971"/>
      <c r="M6" s="969"/>
      <c r="N6" s="971"/>
      <c r="O6" s="971"/>
      <c r="P6" s="972"/>
      <c r="Q6" s="972"/>
      <c r="R6" s="984"/>
      <c r="S6" s="972"/>
      <c r="T6" s="971"/>
      <c r="U6" s="972"/>
    </row>
    <row r="7" spans="1:21" ht="15">
      <c r="A7" s="766" t="s">
        <v>144</v>
      </c>
      <c r="B7" s="490">
        <f>Hoja1!AG56+Hoja1!AH56+Hoja1!AM56+Hoja1!AN56+Hoja1!AS56+Hoja1!AT56</f>
        <v>170935</v>
      </c>
      <c r="C7" s="490">
        <f>Hoja1!B103</f>
        <v>55730</v>
      </c>
      <c r="D7" s="491">
        <f>Hoja1!B121</f>
        <v>65740</v>
      </c>
      <c r="E7" s="490">
        <f>B7-(C7+D7)</f>
        <v>49465</v>
      </c>
      <c r="F7" s="492">
        <f>((D7+C7)-B7)/B7</f>
        <v>-0.28937900371486236</v>
      </c>
      <c r="G7" s="490">
        <f>Hoja1!AI56+Hoja1!AJ56+Hoja1!AO56+Hoja1!AP56+Hoja1!AU56+Hoja1!AV56</f>
        <v>359460</v>
      </c>
      <c r="H7" s="490">
        <f>Hoja1!J103</f>
        <v>94905</v>
      </c>
      <c r="I7" s="493">
        <f>Hoja1!J121</f>
        <v>180135</v>
      </c>
      <c r="J7" s="490">
        <f>G7-(H7+I7)</f>
        <v>84420</v>
      </c>
      <c r="K7" s="492">
        <f>((H7+I7)-G7)/G7</f>
        <v>-0.23485227841762643</v>
      </c>
      <c r="L7" s="490">
        <f>Hoja1!AK56+Hoja1!AQ56+Hoja1!AW56</f>
        <v>44460</v>
      </c>
      <c r="M7" s="490">
        <f>Hoja1!R103</f>
        <v>15300</v>
      </c>
      <c r="N7" s="493">
        <f>Hoja1!R121</f>
        <v>19980</v>
      </c>
      <c r="O7" s="490">
        <f>L7-(M7+N7)</f>
        <v>9180</v>
      </c>
      <c r="P7" s="494">
        <f>((N7+M7)-L7)/L7</f>
        <v>-0.20647773279352227</v>
      </c>
      <c r="Q7" s="495">
        <f aca="true" t="shared" si="0" ref="Q7:Q15">B7+G7+L7</f>
        <v>574855</v>
      </c>
      <c r="R7" s="490">
        <f aca="true" t="shared" si="1" ref="R7:R15">C7+H7+M7</f>
        <v>165935</v>
      </c>
      <c r="S7" s="493">
        <f aca="true" t="shared" si="2" ref="S7:S15">D7+I7+N7</f>
        <v>265855</v>
      </c>
      <c r="T7" s="490">
        <f>Q7-(R7+S7)</f>
        <v>143065</v>
      </c>
      <c r="U7" s="494">
        <f>((R7+S7)-Q7)/Q7</f>
        <v>-0.24887145454071027</v>
      </c>
    </row>
    <row r="8" spans="1:21" ht="15">
      <c r="A8" s="767" t="s">
        <v>33</v>
      </c>
      <c r="B8" s="496">
        <f>Hoja1!AG57+Hoja1!AH57+Hoja1!AM57+Hoja1!AN57+Hoja1!AS57+Hoja1!AT57</f>
        <v>174280</v>
      </c>
      <c r="C8" s="496">
        <f>Hoja1!B104</f>
        <v>59710</v>
      </c>
      <c r="D8" s="497">
        <f>Hoja1!B122</f>
        <v>82340</v>
      </c>
      <c r="E8" s="496">
        <f aca="true" t="shared" si="3" ref="E8:E15">B8-(C8+D8)</f>
        <v>32230</v>
      </c>
      <c r="F8" s="498">
        <f aca="true" t="shared" si="4" ref="F8:F15">((C8+D8)-B8)/B8</f>
        <v>-0.18493229286206106</v>
      </c>
      <c r="G8" s="496">
        <f>Hoja1!AI57+Hoja1!AJ57+Hoja1!AO57+Hoja1!AP57+Hoja1!AU57+Hoja1!AV57</f>
        <v>383490</v>
      </c>
      <c r="H8" s="496">
        <f>Hoja1!J104</f>
        <v>98865</v>
      </c>
      <c r="I8" s="499">
        <f>Hoja1!J122</f>
        <v>213210</v>
      </c>
      <c r="J8" s="496">
        <f aca="true" t="shared" si="5" ref="J8:J15">G8-(H8+I8)</f>
        <v>71415</v>
      </c>
      <c r="K8" s="498">
        <f aca="true" t="shared" si="6" ref="K8:K15">((H8+I8)-G8)/G8</f>
        <v>-0.18622389110537432</v>
      </c>
      <c r="L8" s="496">
        <f>Hoja1!AK57+Hoja1!AQ57+Hoja1!AW57</f>
        <v>43380</v>
      </c>
      <c r="M8" s="496">
        <f>Hoja1!R104</f>
        <v>14580</v>
      </c>
      <c r="N8" s="499">
        <f>Hoja1!R122</f>
        <v>19800</v>
      </c>
      <c r="O8" s="496">
        <f aca="true" t="shared" si="7" ref="O8:O15">L8-(M8+N8)</f>
        <v>9000</v>
      </c>
      <c r="P8" s="500">
        <f aca="true" t="shared" si="8" ref="P8:P15">((N8+M8)-L8)/L8</f>
        <v>-0.2074688796680498</v>
      </c>
      <c r="Q8" s="501">
        <f t="shared" si="0"/>
        <v>601150</v>
      </c>
      <c r="R8" s="496">
        <f t="shared" si="1"/>
        <v>173155</v>
      </c>
      <c r="S8" s="499">
        <f t="shared" si="2"/>
        <v>315350</v>
      </c>
      <c r="T8" s="496">
        <f aca="true" t="shared" si="9" ref="T8:T15">Q8-(R8+S8)</f>
        <v>112645</v>
      </c>
      <c r="U8" s="500">
        <f aca="true" t="shared" si="10" ref="U8:U15">((R8+S8)-Q8)/Q8</f>
        <v>-0.18738251684271812</v>
      </c>
    </row>
    <row r="9" spans="1:21" ht="15">
      <c r="A9" s="767" t="s">
        <v>34</v>
      </c>
      <c r="B9" s="496">
        <f>Hoja1!AG58+Hoja1!AH58+Hoja1!AM58+Hoja1!AN58+Hoja1!AS58+Hoja1!AT58</f>
        <v>174590</v>
      </c>
      <c r="C9" s="496">
        <f>Hoja1!B105</f>
        <v>62695</v>
      </c>
      <c r="D9" s="497">
        <f>Hoja1!B123</f>
        <v>92390</v>
      </c>
      <c r="E9" s="496">
        <f t="shared" si="3"/>
        <v>19505</v>
      </c>
      <c r="F9" s="498">
        <f t="shared" si="4"/>
        <v>-0.1117188842430838</v>
      </c>
      <c r="G9" s="496">
        <f>Hoja1!AI58+Hoja1!AJ58+Hoja1!AO58+Hoja1!AP58+Hoja1!AU58+Hoja1!AV58</f>
        <v>406170</v>
      </c>
      <c r="H9" s="496">
        <f>Hoja1!J105</f>
        <v>107595</v>
      </c>
      <c r="I9" s="499">
        <f>Hoja1!J123</f>
        <v>257895</v>
      </c>
      <c r="J9" s="496">
        <f t="shared" si="5"/>
        <v>40680</v>
      </c>
      <c r="K9" s="498">
        <f t="shared" si="6"/>
        <v>-0.10015510746731664</v>
      </c>
      <c r="L9" s="496">
        <f>Hoja1!AK58+Hoja1!AQ58+Hoja1!AW58</f>
        <v>47880</v>
      </c>
      <c r="M9" s="496">
        <f>Hoja1!R105</f>
        <v>19260</v>
      </c>
      <c r="N9" s="499">
        <f>Hoja1!R123</f>
        <v>22320</v>
      </c>
      <c r="O9" s="496">
        <f t="shared" si="7"/>
        <v>6300</v>
      </c>
      <c r="P9" s="500">
        <f t="shared" si="8"/>
        <v>-0.13157894736842105</v>
      </c>
      <c r="Q9" s="501">
        <f t="shared" si="0"/>
        <v>628640</v>
      </c>
      <c r="R9" s="496">
        <f t="shared" si="1"/>
        <v>189550</v>
      </c>
      <c r="S9" s="499">
        <f t="shared" si="2"/>
        <v>372605</v>
      </c>
      <c r="T9" s="496">
        <f t="shared" si="9"/>
        <v>66485</v>
      </c>
      <c r="U9" s="500">
        <f t="shared" si="10"/>
        <v>-0.10576005344871468</v>
      </c>
    </row>
    <row r="10" spans="1:21" ht="15">
      <c r="A10" s="767" t="s">
        <v>35</v>
      </c>
      <c r="B10" s="496">
        <f>Hoja1!AG59+Hoja1!AH59+Hoja1!AM59+Hoja1!AN59+Hoja1!AS59+Hoja1!AT59</f>
        <v>186055</v>
      </c>
      <c r="C10" s="496">
        <f>Hoja1!B106</f>
        <v>66830</v>
      </c>
      <c r="D10" s="497">
        <f>Hoja1!B124</f>
        <v>91875</v>
      </c>
      <c r="E10" s="496">
        <f t="shared" si="3"/>
        <v>27350</v>
      </c>
      <c r="F10" s="498">
        <f t="shared" si="4"/>
        <v>-0.14699954314584396</v>
      </c>
      <c r="G10" s="496">
        <f>Hoja1!AI59+Hoja1!AJ59+Hoja1!AO59+Hoja1!AP59+Hoja1!AU59+Hoja1!AV59</f>
        <v>418590</v>
      </c>
      <c r="H10" s="496">
        <f>Hoja1!J106</f>
        <v>116775</v>
      </c>
      <c r="I10" s="499">
        <f>Hoja1!J124</f>
        <v>277200</v>
      </c>
      <c r="J10" s="496">
        <f t="shared" si="5"/>
        <v>24615</v>
      </c>
      <c r="K10" s="498">
        <f t="shared" si="6"/>
        <v>-0.058804558159535586</v>
      </c>
      <c r="L10" s="496">
        <f>Hoja1!AK59+Hoja1!AQ59+Hoja1!AW59</f>
        <v>48600</v>
      </c>
      <c r="M10" s="496">
        <f>Hoja1!R106</f>
        <v>18180</v>
      </c>
      <c r="N10" s="499">
        <f>Hoja1!R124</f>
        <v>24300</v>
      </c>
      <c r="O10" s="496">
        <f t="shared" si="7"/>
        <v>6120</v>
      </c>
      <c r="P10" s="500">
        <f t="shared" si="8"/>
        <v>-0.1259259259259259</v>
      </c>
      <c r="Q10" s="501">
        <f t="shared" si="0"/>
        <v>653245</v>
      </c>
      <c r="R10" s="496">
        <f t="shared" si="1"/>
        <v>201785</v>
      </c>
      <c r="S10" s="499">
        <f t="shared" si="2"/>
        <v>393375</v>
      </c>
      <c r="T10" s="496">
        <f t="shared" si="9"/>
        <v>58085</v>
      </c>
      <c r="U10" s="500">
        <f t="shared" si="10"/>
        <v>-0.08891763427198066</v>
      </c>
    </row>
    <row r="11" spans="1:21" ht="15">
      <c r="A11" s="767" t="s">
        <v>36</v>
      </c>
      <c r="B11" s="496">
        <f>Hoja1!AG60+Hoja1!AH60+Hoja1!AM60+Hoja1!AN60+Hoja1!AS60+Hoja1!AT60</f>
        <v>411390</v>
      </c>
      <c r="C11" s="496">
        <f>Hoja1!B107</f>
        <v>126360</v>
      </c>
      <c r="D11" s="497">
        <f>Hoja1!B125</f>
        <v>183825</v>
      </c>
      <c r="E11" s="496">
        <f t="shared" si="3"/>
        <v>101205</v>
      </c>
      <c r="F11" s="498">
        <f t="shared" si="4"/>
        <v>-0.246007438197331</v>
      </c>
      <c r="G11" s="496">
        <f>Hoja1!AI60+Hoja1!AJ60+Hoja1!AO60+Hoja1!AP60+Hoja1!AU60+Hoja1!AV60</f>
        <v>783945</v>
      </c>
      <c r="H11" s="496">
        <f>Hoja1!J107</f>
        <v>238590</v>
      </c>
      <c r="I11" s="499">
        <f>Hoja1!J125</f>
        <v>457200</v>
      </c>
      <c r="J11" s="496">
        <f t="shared" si="5"/>
        <v>88155</v>
      </c>
      <c r="K11" s="498">
        <f t="shared" si="6"/>
        <v>-0.11245049078698123</v>
      </c>
      <c r="L11" s="496">
        <f>Hoja1!AK60+Hoja1!AQ60+Hoja1!AW60</f>
        <v>76020</v>
      </c>
      <c r="M11" s="496">
        <f>Hoja1!R107</f>
        <v>39240</v>
      </c>
      <c r="N11" s="499">
        <f>Hoja1!R125</f>
        <v>45900</v>
      </c>
      <c r="O11" s="496">
        <f t="shared" si="7"/>
        <v>-9120</v>
      </c>
      <c r="P11" s="500">
        <f t="shared" si="8"/>
        <v>0.11996842936069456</v>
      </c>
      <c r="Q11" s="501">
        <f t="shared" si="0"/>
        <v>1271355</v>
      </c>
      <c r="R11" s="496">
        <f t="shared" si="1"/>
        <v>404190</v>
      </c>
      <c r="S11" s="499">
        <f t="shared" si="2"/>
        <v>686925</v>
      </c>
      <c r="T11" s="496">
        <f t="shared" si="9"/>
        <v>180240</v>
      </c>
      <c r="U11" s="500">
        <f t="shared" si="10"/>
        <v>-0.1417700012978279</v>
      </c>
    </row>
    <row r="12" spans="1:21" ht="15">
      <c r="A12" s="767" t="s">
        <v>37</v>
      </c>
      <c r="B12" s="496">
        <f>Hoja1!AG61+Hoja1!AH61+Hoja1!AM61+Hoja1!AN61+Hoja1!AS61+Hoja1!AT61</f>
        <v>386270</v>
      </c>
      <c r="C12" s="496">
        <f>Hoja1!B108</f>
        <v>139020</v>
      </c>
      <c r="D12" s="497">
        <f>Hoja1!B126</f>
        <v>169005</v>
      </c>
      <c r="E12" s="496">
        <f t="shared" si="3"/>
        <v>78245</v>
      </c>
      <c r="F12" s="498">
        <f t="shared" si="4"/>
        <v>-0.20256556294819686</v>
      </c>
      <c r="G12" s="496">
        <f>Hoja1!AI61+Hoja1!AJ61+Hoja1!AO61+Hoja1!AP61+Hoja1!AU61+Hoja1!AV61</f>
        <v>985590</v>
      </c>
      <c r="H12" s="496">
        <f>Hoja1!J108</f>
        <v>249705</v>
      </c>
      <c r="I12" s="499">
        <f>Hoja1!J126</f>
        <v>449865</v>
      </c>
      <c r="J12" s="496">
        <f t="shared" si="5"/>
        <v>286020</v>
      </c>
      <c r="K12" s="498">
        <f t="shared" si="6"/>
        <v>-0.290201808054059</v>
      </c>
      <c r="L12" s="496">
        <f>Hoja1!AK61+Hoja1!AQ61+Hoja1!AW61</f>
        <v>105480</v>
      </c>
      <c r="M12" s="496">
        <f>Hoja1!R108</f>
        <v>42120</v>
      </c>
      <c r="N12" s="499">
        <f>Hoja1!R126</f>
        <v>48600</v>
      </c>
      <c r="O12" s="496">
        <f t="shared" si="7"/>
        <v>14760</v>
      </c>
      <c r="P12" s="500">
        <f t="shared" si="8"/>
        <v>-0.13993174061433447</v>
      </c>
      <c r="Q12" s="501">
        <f t="shared" si="0"/>
        <v>1477340</v>
      </c>
      <c r="R12" s="496">
        <f t="shared" si="1"/>
        <v>430845</v>
      </c>
      <c r="S12" s="499">
        <f t="shared" si="2"/>
        <v>667470</v>
      </c>
      <c r="T12" s="496">
        <f t="shared" si="9"/>
        <v>379025</v>
      </c>
      <c r="U12" s="500">
        <f t="shared" si="10"/>
        <v>-0.2565590859247025</v>
      </c>
    </row>
    <row r="13" spans="1:21" ht="15">
      <c r="A13" s="767" t="s">
        <v>38</v>
      </c>
      <c r="B13" s="496">
        <f>Hoja1!AG62+Hoja1!AH62+Hoja1!AM62+Hoja1!AN62+Hoja1!AS62+Hoja1!AT62</f>
        <v>378775</v>
      </c>
      <c r="C13" s="496">
        <f>Hoja1!B109</f>
        <v>142560</v>
      </c>
      <c r="D13" s="497">
        <f>Hoja1!B127</f>
        <v>137555</v>
      </c>
      <c r="E13" s="496">
        <f t="shared" si="3"/>
        <v>98660</v>
      </c>
      <c r="F13" s="498">
        <f t="shared" si="4"/>
        <v>-0.26047125602270477</v>
      </c>
      <c r="G13" s="496">
        <f>Hoja1!AI62+Hoja1!AJ62+Hoja1!AO62+Hoja1!AP62+Hoja1!AU62+Hoja1!AV62</f>
        <v>960855</v>
      </c>
      <c r="H13" s="496">
        <f>Hoja1!J109</f>
        <v>267345</v>
      </c>
      <c r="I13" s="499">
        <f>Hoja1!J127</f>
        <v>458865</v>
      </c>
      <c r="J13" s="496">
        <f t="shared" si="5"/>
        <v>234645</v>
      </c>
      <c r="K13" s="498">
        <f t="shared" si="6"/>
        <v>-0.24420438047364065</v>
      </c>
      <c r="L13" s="496">
        <f>Hoja1!AK62+Hoja1!AQ62+Hoja1!AW62</f>
        <v>126000</v>
      </c>
      <c r="M13" s="496">
        <f>Hoja1!R109</f>
        <v>45000</v>
      </c>
      <c r="N13" s="499">
        <f>Hoja1!R127</f>
        <v>47880</v>
      </c>
      <c r="O13" s="496">
        <f t="shared" si="7"/>
        <v>33120</v>
      </c>
      <c r="P13" s="500">
        <f t="shared" si="8"/>
        <v>-0.26285714285714284</v>
      </c>
      <c r="Q13" s="501">
        <f t="shared" si="0"/>
        <v>1465630</v>
      </c>
      <c r="R13" s="496">
        <f t="shared" si="1"/>
        <v>454905</v>
      </c>
      <c r="S13" s="499">
        <f t="shared" si="2"/>
        <v>644300</v>
      </c>
      <c r="T13" s="496">
        <f t="shared" si="9"/>
        <v>366425</v>
      </c>
      <c r="U13" s="500">
        <f t="shared" si="10"/>
        <v>-0.2500119402577731</v>
      </c>
    </row>
    <row r="14" spans="1:21" ht="15">
      <c r="A14" s="767" t="s">
        <v>39</v>
      </c>
      <c r="B14" s="496">
        <f>Hoja1!AG63+Hoja1!AH63+Hoja1!AM63+Hoja1!AN63+Hoja1!AS63+Hoja1!AT63</f>
        <v>361394</v>
      </c>
      <c r="C14" s="496">
        <f>Hoja1!B110</f>
        <v>135805</v>
      </c>
      <c r="D14" s="497">
        <f>Hoja1!B128</f>
        <v>131965</v>
      </c>
      <c r="E14" s="496">
        <f t="shared" si="3"/>
        <v>93624</v>
      </c>
      <c r="F14" s="498">
        <f t="shared" si="4"/>
        <v>-0.2590635151662728</v>
      </c>
      <c r="G14" s="496">
        <f>Hoja1!AI63+Hoja1!AJ63+Hoja1!AO63+Hoja1!AP63+Hoja1!AU63+Hoja1!AV63</f>
        <v>847710</v>
      </c>
      <c r="H14" s="496">
        <f>Hoja1!J110</f>
        <v>264870</v>
      </c>
      <c r="I14" s="499">
        <f>Hoja1!J128</f>
        <v>435000</v>
      </c>
      <c r="J14" s="496">
        <f t="shared" si="5"/>
        <v>147840</v>
      </c>
      <c r="K14" s="498">
        <f t="shared" si="6"/>
        <v>-0.17439926389921082</v>
      </c>
      <c r="L14" s="496">
        <f>Hoja1!AK63+Hoja1!AQ63+Hoja1!AW63</f>
        <v>112140</v>
      </c>
      <c r="M14" s="496">
        <f>Hoja1!R110</f>
        <v>43920</v>
      </c>
      <c r="N14" s="499">
        <f>Hoja1!R128</f>
        <v>54540</v>
      </c>
      <c r="O14" s="496">
        <f t="shared" si="7"/>
        <v>13680</v>
      </c>
      <c r="P14" s="500">
        <f t="shared" si="8"/>
        <v>-0.12199036918138041</v>
      </c>
      <c r="Q14" s="501">
        <f t="shared" si="0"/>
        <v>1321244</v>
      </c>
      <c r="R14" s="496">
        <f t="shared" si="1"/>
        <v>444595</v>
      </c>
      <c r="S14" s="499">
        <f t="shared" si="2"/>
        <v>621505</v>
      </c>
      <c r="T14" s="496">
        <f t="shared" si="9"/>
        <v>255144</v>
      </c>
      <c r="U14" s="500">
        <f t="shared" si="10"/>
        <v>-0.19310891856462545</v>
      </c>
    </row>
    <row r="15" spans="1:21" ht="15">
      <c r="A15" s="767" t="s">
        <v>40</v>
      </c>
      <c r="B15" s="496">
        <f>Hoja1!AG64+Hoja1!AH64+Hoja1!AM64+Hoja1!AN64+Hoja1!AS64+Hoja1!AT64</f>
        <v>372424</v>
      </c>
      <c r="C15" s="496">
        <f>Hoja1!B111</f>
        <v>130415</v>
      </c>
      <c r="D15" s="497">
        <f>Hoja1!B129</f>
        <v>118180</v>
      </c>
      <c r="E15" s="496">
        <f t="shared" si="3"/>
        <v>123829</v>
      </c>
      <c r="F15" s="498">
        <f t="shared" si="4"/>
        <v>-0.33249468347904537</v>
      </c>
      <c r="G15" s="496">
        <f>Hoja1!AI64+Hoja1!AJ64+Hoja1!AO64+Hoja1!AP64+Hoja1!AU64+Hoja1!AV64</f>
        <v>900045</v>
      </c>
      <c r="H15" s="496">
        <f>Hoja1!J111</f>
        <v>259515</v>
      </c>
      <c r="I15" s="499">
        <f>Hoja1!J129</f>
        <v>372090</v>
      </c>
      <c r="J15" s="496">
        <f t="shared" si="5"/>
        <v>268440</v>
      </c>
      <c r="K15" s="498">
        <f t="shared" si="6"/>
        <v>-0.2982517540789627</v>
      </c>
      <c r="L15" s="496">
        <f>Hoja1!AK64+Hoja1!AQ64+Hoja1!AW64</f>
        <v>134820</v>
      </c>
      <c r="M15" s="496">
        <f>Hoja1!R111</f>
        <v>47160</v>
      </c>
      <c r="N15" s="499">
        <f>Hoja1!R129</f>
        <v>58680</v>
      </c>
      <c r="O15" s="496">
        <f t="shared" si="7"/>
        <v>28980</v>
      </c>
      <c r="P15" s="500">
        <f t="shared" si="8"/>
        <v>-0.21495327102803738</v>
      </c>
      <c r="Q15" s="501">
        <f t="shared" si="0"/>
        <v>1407289</v>
      </c>
      <c r="R15" s="496">
        <f t="shared" si="1"/>
        <v>437090</v>
      </c>
      <c r="S15" s="499">
        <f t="shared" si="2"/>
        <v>548950</v>
      </c>
      <c r="T15" s="496">
        <f t="shared" si="9"/>
        <v>421249</v>
      </c>
      <c r="U15" s="500">
        <f t="shared" si="10"/>
        <v>-0.2993336834154179</v>
      </c>
    </row>
    <row r="16" spans="1:21" ht="15">
      <c r="A16" s="767" t="s">
        <v>41</v>
      </c>
      <c r="B16" s="496">
        <f>Hoja1!AG65+Hoja1!AH65+Hoja1!AM65+Hoja1!AN65+Hoja1!AS65+Hoja1!AT65</f>
        <v>196860</v>
      </c>
      <c r="C16" s="496">
        <f>Hoja1!B112</f>
        <v>63865</v>
      </c>
      <c r="D16" s="497">
        <f>Hoja1!B130</f>
        <v>93105</v>
      </c>
      <c r="E16" s="496">
        <f>B16-(C16+D16)</f>
        <v>39890</v>
      </c>
      <c r="F16" s="498">
        <f>((C16+D16)-B16)/B16</f>
        <v>-0.20263131159199432</v>
      </c>
      <c r="G16" s="496">
        <f>Hoja1!AI65+Hoja1!AJ65+Hoja1!AO65+Hoja1!AP65+Hoja1!AU65+Hoja1!AV65</f>
        <v>584400</v>
      </c>
      <c r="H16" s="496">
        <f>Hoja1!J112</f>
        <v>130635</v>
      </c>
      <c r="I16" s="499">
        <f>Hoja1!J130</f>
        <v>279465</v>
      </c>
      <c r="J16" s="496">
        <f>G16-(H16+I16)</f>
        <v>174300</v>
      </c>
      <c r="K16" s="498">
        <f>((H16+I16)-G16)/G16</f>
        <v>-0.2982546201232033</v>
      </c>
      <c r="L16" s="496">
        <f>Hoja1!AK65+Hoja1!AQ65+Hoja1!AW65</f>
        <v>78840</v>
      </c>
      <c r="M16" s="496">
        <f>Hoja1!R112</f>
        <v>22320</v>
      </c>
      <c r="N16" s="499">
        <f>Hoja1!R130</f>
        <v>34560</v>
      </c>
      <c r="O16" s="496">
        <f>L16-(M16+N16)</f>
        <v>21960</v>
      </c>
      <c r="P16" s="500">
        <f>((N16+M16)-L16)/L16</f>
        <v>-0.2785388127853881</v>
      </c>
      <c r="Q16" s="501">
        <f aca="true" t="shared" si="11" ref="Q16:S18">B16+G16+L16</f>
        <v>860100</v>
      </c>
      <c r="R16" s="496">
        <f t="shared" si="11"/>
        <v>216820</v>
      </c>
      <c r="S16" s="499">
        <f t="shared" si="11"/>
        <v>407130</v>
      </c>
      <c r="T16" s="496">
        <f>Q16-(R16+S16)</f>
        <v>236150</v>
      </c>
      <c r="U16" s="500">
        <f>((R16+S16)-Q16)/Q16</f>
        <v>-0.27456109754679686</v>
      </c>
    </row>
    <row r="17" spans="1:21" ht="15">
      <c r="A17" s="767" t="s">
        <v>42</v>
      </c>
      <c r="B17" s="496">
        <f>Hoja1!AG66+Hoja1!AH66+Hoja1!AM66+Hoja1!AN66+Hoja1!AS66+Hoja1!AT66</f>
        <v>172175</v>
      </c>
      <c r="C17" s="496">
        <f>Hoja1!B113</f>
        <v>57345</v>
      </c>
      <c r="D17" s="497">
        <f>Hoja1!B131</f>
        <v>97480</v>
      </c>
      <c r="E17" s="496">
        <f>B17-(C17+D17)</f>
        <v>17350</v>
      </c>
      <c r="F17" s="498">
        <f>((C17+D17)-B17)/B17</f>
        <v>-0.10076956584870045</v>
      </c>
      <c r="G17" s="496">
        <f>Hoja1!AI66+Hoja1!AJ66+Hoja1!AO66+Hoja1!AP66+Hoja1!AU66+Hoja1!AV66</f>
        <v>412965</v>
      </c>
      <c r="H17" s="496">
        <f>Hoja1!J113</f>
        <v>127080</v>
      </c>
      <c r="I17" s="499">
        <f>Hoja1!J131</f>
        <v>275370</v>
      </c>
      <c r="J17" s="496">
        <f>G17-(H17+I17)</f>
        <v>10515</v>
      </c>
      <c r="K17" s="498">
        <f>((H17+I17)-G17)/G17</f>
        <v>-0.02546220624023828</v>
      </c>
      <c r="L17" s="496">
        <f>Hoja1!AK66+Hoja1!AQ66+Hoja1!AW66</f>
        <v>62820</v>
      </c>
      <c r="M17" s="496">
        <f>Hoja1!R113</f>
        <v>24120</v>
      </c>
      <c r="N17" s="499">
        <f>Hoja1!R131</f>
        <v>36900</v>
      </c>
      <c r="O17" s="496">
        <f>L17-(M17+N17)</f>
        <v>1800</v>
      </c>
      <c r="P17" s="500">
        <f>((N17+M17)-L17)/L17</f>
        <v>-0.02865329512893983</v>
      </c>
      <c r="Q17" s="501">
        <f t="shared" si="11"/>
        <v>647960</v>
      </c>
      <c r="R17" s="496">
        <f t="shared" si="11"/>
        <v>208545</v>
      </c>
      <c r="S17" s="499">
        <f t="shared" si="11"/>
        <v>409750</v>
      </c>
      <c r="T17" s="496">
        <f>Q17-(R17+S17)</f>
        <v>29665</v>
      </c>
      <c r="U17" s="500">
        <f>((R17+S17)-Q17)/Q17</f>
        <v>-0.045782147046113955</v>
      </c>
    </row>
    <row r="18" spans="1:21" ht="15.75" thickBot="1">
      <c r="A18" s="768" t="s">
        <v>43</v>
      </c>
      <c r="B18" s="502">
        <f>Hoja1!AG67+Hoja1!AH67+Hoja1!AM67+Hoja1!AN67+Hoja1!AS67+Hoja1!AT67</f>
        <v>188650</v>
      </c>
      <c r="C18" s="502">
        <f>Hoja1!B114</f>
        <v>51020</v>
      </c>
      <c r="D18" s="503">
        <f>Hoja1!B132</f>
        <v>96735</v>
      </c>
      <c r="E18" s="502">
        <f>B18-(C18+D18)</f>
        <v>40895</v>
      </c>
      <c r="F18" s="504">
        <f>((C18+D18)-B18)/B18</f>
        <v>-0.21677710045056983</v>
      </c>
      <c r="G18" s="502">
        <f>Hoja1!AI67+Hoja1!AJ67+Hoja1!AO67+Hoja1!AP67+Hoja1!AU67+Hoja1!AV67</f>
        <v>452220</v>
      </c>
      <c r="H18" s="502">
        <f>Hoja1!J114</f>
        <v>119340</v>
      </c>
      <c r="I18" s="507">
        <f>Hoja1!J132</f>
        <v>259800</v>
      </c>
      <c r="J18" s="502">
        <f>G18-(H18+I18)</f>
        <v>73080</v>
      </c>
      <c r="K18" s="504">
        <f>((H18+I18)-G18)/G18</f>
        <v>-0.16160275971872098</v>
      </c>
      <c r="L18" s="502">
        <f>Hoja1!AK67+Hoja1!AQ67+Hoja1!AW67</f>
        <v>71280</v>
      </c>
      <c r="M18" s="502">
        <f>Hoja1!R114</f>
        <v>25740</v>
      </c>
      <c r="N18" s="507">
        <f>Hoja1!R132</f>
        <v>35640</v>
      </c>
      <c r="O18" s="502">
        <f>L18-(M18+N18)</f>
        <v>9900</v>
      </c>
      <c r="P18" s="505">
        <f>((N18+M18)-L18)/L18</f>
        <v>-0.1388888888888889</v>
      </c>
      <c r="Q18" s="506">
        <f t="shared" si="11"/>
        <v>712150</v>
      </c>
      <c r="R18" s="502">
        <f t="shared" si="11"/>
        <v>196100</v>
      </c>
      <c r="S18" s="507">
        <f t="shared" si="11"/>
        <v>392175</v>
      </c>
      <c r="T18" s="502">
        <f>Q18-(R18+S18)</f>
        <v>123875</v>
      </c>
      <c r="U18" s="505">
        <f>((R18+S18)-Q18)/Q18</f>
        <v>-0.1739450958365513</v>
      </c>
    </row>
    <row r="19" spans="1:21" ht="15.75" thickBot="1">
      <c r="A19" s="482"/>
      <c r="B19" s="769">
        <f>SUM(B7:B18)</f>
        <v>3173798</v>
      </c>
      <c r="C19" s="769">
        <f>SUM(C7:C18)</f>
        <v>1091355</v>
      </c>
      <c r="D19" s="769">
        <f>SUM(D7:D18)</f>
        <v>1360195</v>
      </c>
      <c r="E19" s="769">
        <f>SUM(E7:E18)</f>
        <v>722248</v>
      </c>
      <c r="F19" s="482"/>
      <c r="G19" s="769">
        <f>SUM(G7:G18)</f>
        <v>7495440</v>
      </c>
      <c r="H19" s="769">
        <f>SUM(H7:H18)</f>
        <v>2075220</v>
      </c>
      <c r="I19" s="769">
        <f>SUM(I7:I18)</f>
        <v>3916095</v>
      </c>
      <c r="J19" s="769">
        <f>SUM(J7:J18)</f>
        <v>1504125</v>
      </c>
      <c r="K19" s="482"/>
      <c r="L19" s="769">
        <f>SUM(L7:L18)</f>
        <v>951720</v>
      </c>
      <c r="M19" s="769">
        <f>SUM(M7:M18)</f>
        <v>356940</v>
      </c>
      <c r="N19" s="769">
        <f>SUM(N7:N18)</f>
        <v>449100</v>
      </c>
      <c r="O19" s="769">
        <f>SUM(O7:O18)</f>
        <v>145680</v>
      </c>
      <c r="P19" s="482"/>
      <c r="Q19" s="769">
        <f>SUM(Q7:Q18)</f>
        <v>11620958</v>
      </c>
      <c r="R19" s="769">
        <f>SUM(R7:R18)</f>
        <v>3523515</v>
      </c>
      <c r="S19" s="769">
        <f>SUM(S7:S18)</f>
        <v>5725390</v>
      </c>
      <c r="T19" s="769">
        <f>SUM(T7:T18)</f>
        <v>2372053</v>
      </c>
      <c r="U19" s="482"/>
    </row>
    <row r="20" spans="2:20" ht="15">
      <c r="B20" s="303">
        <f>+E19+D19+C19</f>
        <v>3173798</v>
      </c>
      <c r="G20" s="303">
        <f>+J19+I19+H19</f>
        <v>7495440</v>
      </c>
      <c r="L20" s="303">
        <f>+O19+N19+M19</f>
        <v>951720</v>
      </c>
      <c r="Q20" s="303">
        <f>+T19+S19+R19</f>
        <v>11620958</v>
      </c>
      <c r="T20" s="303"/>
    </row>
    <row r="21" spans="18:20" ht="15">
      <c r="R21" s="303">
        <f>+C19+H19+M19</f>
        <v>3523515</v>
      </c>
      <c r="S21" s="303">
        <f>+D19+I19+N19</f>
        <v>5725390</v>
      </c>
      <c r="T21" s="303">
        <f>+E19+J19+O19</f>
        <v>2372053</v>
      </c>
    </row>
    <row r="22" ht="15">
      <c r="Q22" s="303">
        <f>+Q20-T21</f>
        <v>9248905</v>
      </c>
    </row>
    <row r="23" ht="15">
      <c r="T23">
        <f>+T21/Q20</f>
        <v>0.2041185416899364</v>
      </c>
    </row>
  </sheetData>
  <sheetProtection/>
  <mergeCells count="30">
    <mergeCell ref="F5:F6"/>
    <mergeCell ref="E5:E6"/>
    <mergeCell ref="R5:R6"/>
    <mergeCell ref="P5:P6"/>
    <mergeCell ref="O5:O6"/>
    <mergeCell ref="Q5:Q6"/>
    <mergeCell ref="G5:G6"/>
    <mergeCell ref="L5:L6"/>
    <mergeCell ref="M5:M6"/>
    <mergeCell ref="N5:N6"/>
    <mergeCell ref="S5:S6"/>
    <mergeCell ref="U5:U6"/>
    <mergeCell ref="T5:T6"/>
    <mergeCell ref="B4:F4"/>
    <mergeCell ref="G4:K4"/>
    <mergeCell ref="L4:P4"/>
    <mergeCell ref="Q4:U4"/>
    <mergeCell ref="B5:B6"/>
    <mergeCell ref="C5:C6"/>
    <mergeCell ref="D5:D6"/>
    <mergeCell ref="A4:A6"/>
    <mergeCell ref="F2:H2"/>
    <mergeCell ref="I2:L2"/>
    <mergeCell ref="M2:P2"/>
    <mergeCell ref="H5:H6"/>
    <mergeCell ref="I5:I6"/>
    <mergeCell ref="K5:K6"/>
    <mergeCell ref="J5:J6"/>
    <mergeCell ref="B2:D2"/>
    <mergeCell ref="A3:U3"/>
  </mergeCells>
  <printOptions/>
  <pageMargins left="0" right="0" top="0.1968503937007874" bottom="0.1968503937007874" header="0.11811023622047245" footer="0.11811023622047245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A20">
      <selection activeCell="K29" sqref="K29"/>
    </sheetView>
  </sheetViews>
  <sheetFormatPr defaultColWidth="11.421875" defaultRowHeight="15"/>
  <cols>
    <col min="1" max="1" width="17.7109375" style="0" customWidth="1"/>
    <col min="2" max="2" width="19.140625" style="0" customWidth="1"/>
    <col min="3" max="3" width="21.7109375" style="0" customWidth="1"/>
    <col min="4" max="4" width="11.57421875" style="0" bestFit="1" customWidth="1"/>
    <col min="5" max="5" width="17.57421875" style="0" bestFit="1" customWidth="1"/>
    <col min="6" max="6" width="11.57421875" style="0" bestFit="1" customWidth="1"/>
    <col min="7" max="7" width="16.57421875" style="0" customWidth="1"/>
    <col min="8" max="8" width="14.57421875" style="0" customWidth="1"/>
    <col min="9" max="9" width="12.57421875" style="0" customWidth="1"/>
    <col min="10" max="10" width="16.7109375" style="0" customWidth="1"/>
    <col min="11" max="11" width="14.28125" style="0" customWidth="1"/>
    <col min="12" max="12" width="15.7109375" style="0" customWidth="1"/>
    <col min="13" max="13" width="7.00390625" style="0" customWidth="1"/>
    <col min="14" max="14" width="13.28125" style="0" bestFit="1" customWidth="1"/>
    <col min="16" max="16" width="11.57421875" style="0" bestFit="1" customWidth="1"/>
  </cols>
  <sheetData>
    <row r="2" ht="15.75" thickBot="1"/>
    <row r="3" spans="1:9" ht="15.75" thickBot="1">
      <c r="A3" s="998" t="s">
        <v>283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4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N5" s="714" t="s">
        <v>298</v>
      </c>
    </row>
    <row r="6" spans="1:14" ht="15">
      <c r="A6" s="465" t="s">
        <v>211</v>
      </c>
      <c r="B6" s="739">
        <f>+Hoja1!B103</f>
        <v>55730</v>
      </c>
      <c r="C6" s="447">
        <f>+B6*5</f>
        <v>278650</v>
      </c>
      <c r="D6" s="715">
        <f>+Hoja1!L33</f>
        <v>2.71</v>
      </c>
      <c r="E6" s="447">
        <f>B6*D6</f>
        <v>151028.3</v>
      </c>
      <c r="F6" s="688">
        <f>+Hoja1!L34</f>
        <v>0.69</v>
      </c>
      <c r="G6" s="447">
        <f>B6*F6</f>
        <v>38453.7</v>
      </c>
      <c r="H6" s="717">
        <f>+Hoja1!L35</f>
        <v>1.6</v>
      </c>
      <c r="I6" s="447">
        <f>B6*H6</f>
        <v>89168</v>
      </c>
      <c r="J6" s="94"/>
      <c r="N6" s="94">
        <f>+E6+G6+I6</f>
        <v>278650</v>
      </c>
    </row>
    <row r="7" spans="1:14" ht="15">
      <c r="A7" s="466" t="s">
        <v>212</v>
      </c>
      <c r="B7" s="740">
        <f>+Hoja1!J103</f>
        <v>94905</v>
      </c>
      <c r="C7" s="448">
        <f>+B7*5.06</f>
        <v>480219.3</v>
      </c>
      <c r="D7" s="690">
        <f>+Hoja1!M33</f>
        <v>2.77</v>
      </c>
      <c r="E7" s="448">
        <f>B7*D7</f>
        <v>262886.85</v>
      </c>
      <c r="F7" s="690">
        <f>+Hoja1!M34</f>
        <v>0.69</v>
      </c>
      <c r="G7" s="448">
        <f>B7*F7</f>
        <v>65484.45</v>
      </c>
      <c r="H7" s="718">
        <f>+Hoja1!M35</f>
        <v>1.6</v>
      </c>
      <c r="I7" s="448">
        <f>B7*H7</f>
        <v>151848</v>
      </c>
      <c r="N7" s="94">
        <f>+E7+G7+I7</f>
        <v>480219.3</v>
      </c>
    </row>
    <row r="8" spans="1:14" ht="15.75" thickBot="1">
      <c r="A8" s="445" t="s">
        <v>46</v>
      </c>
      <c r="B8" s="741">
        <f>+Hoja1!R103</f>
        <v>15300</v>
      </c>
      <c r="C8" s="468">
        <f>+B8*4.02</f>
        <v>61505.99999999999</v>
      </c>
      <c r="D8" s="689">
        <f>+Hoja1!N33</f>
        <v>2.32</v>
      </c>
      <c r="E8" s="468">
        <f>B8*D8</f>
        <v>35496</v>
      </c>
      <c r="F8" s="716">
        <f>+Hoja1!N34</f>
        <v>0.4</v>
      </c>
      <c r="G8" s="468">
        <f>B8*F8</f>
        <v>6120</v>
      </c>
      <c r="H8" s="716">
        <f>+Hoja1!N35</f>
        <v>1.3</v>
      </c>
      <c r="I8" s="468">
        <f>B8*H8</f>
        <v>19890</v>
      </c>
      <c r="N8" s="94">
        <f>+E8+G8+I8</f>
        <v>61506</v>
      </c>
    </row>
    <row r="9" spans="1:14" ht="15.75" thickBot="1">
      <c r="A9" s="450" t="s">
        <v>132</v>
      </c>
      <c r="B9" s="742">
        <f>SUM(B6:B8)</f>
        <v>165935</v>
      </c>
      <c r="C9" s="427">
        <f>SUM(C6:C8)</f>
        <v>820375.3</v>
      </c>
      <c r="D9" s="426"/>
      <c r="E9" s="427">
        <f>SUM(E6:E8)</f>
        <v>449411.14999999997</v>
      </c>
      <c r="F9" s="426"/>
      <c r="G9" s="427">
        <f>SUM(G6:G8)</f>
        <v>110058.15</v>
      </c>
      <c r="H9" s="627"/>
      <c r="I9" s="427">
        <f>SUM(I6:I8)</f>
        <v>260906</v>
      </c>
      <c r="N9" s="94">
        <f>SUM(N6:N8)</f>
        <v>820375.3</v>
      </c>
    </row>
    <row r="10" ht="15">
      <c r="G10" s="94"/>
    </row>
    <row r="11" ht="15.75" thickBot="1">
      <c r="J11" t="s">
        <v>310</v>
      </c>
    </row>
    <row r="12" spans="1:13" ht="15.75" thickBot="1">
      <c r="A12" s="988" t="s">
        <v>207</v>
      </c>
      <c r="B12" s="989"/>
      <c r="C12" s="989"/>
      <c r="D12" s="989"/>
      <c r="E12" s="989"/>
      <c r="F12" s="989"/>
      <c r="G12" s="989"/>
      <c r="H12" s="451">
        <f>G9</f>
        <v>110058.15</v>
      </c>
      <c r="I12" s="721" t="s">
        <v>267</v>
      </c>
      <c r="J12" s="736" t="s">
        <v>309</v>
      </c>
      <c r="K12" s="750">
        <v>89139.68</v>
      </c>
      <c r="L12" s="985">
        <f>SUM(K12:K13)</f>
        <v>110058.15</v>
      </c>
      <c r="M12" s="1010"/>
    </row>
    <row r="13" spans="10:13" ht="15.75" thickBot="1">
      <c r="J13" s="736" t="s">
        <v>308</v>
      </c>
      <c r="K13" s="750">
        <v>20918.47</v>
      </c>
      <c r="L13" s="985"/>
      <c r="M13" s="1010"/>
    </row>
    <row r="14" spans="1:10" ht="15.75" thickBot="1">
      <c r="A14" s="988" t="s">
        <v>216</v>
      </c>
      <c r="B14" s="989"/>
      <c r="C14" s="989"/>
      <c r="D14" s="989"/>
      <c r="E14" s="989"/>
      <c r="F14" s="989"/>
      <c r="G14" s="989"/>
      <c r="H14" s="451">
        <f>E9</f>
        <v>449411.14999999997</v>
      </c>
      <c r="J14" s="736"/>
    </row>
    <row r="15" ht="15.75" thickBot="1">
      <c r="J15" s="736"/>
    </row>
    <row r="16" spans="1:13" ht="15.75" thickBot="1">
      <c r="A16" s="988" t="s">
        <v>217</v>
      </c>
      <c r="B16" s="989"/>
      <c r="C16" s="989"/>
      <c r="D16" s="989"/>
      <c r="E16" s="989"/>
      <c r="F16" s="989"/>
      <c r="G16" s="989"/>
      <c r="H16" s="744">
        <f>+Hoja1!J64</f>
        <v>391153.095</v>
      </c>
      <c r="I16" s="1010"/>
      <c r="J16" s="736" t="s">
        <v>304</v>
      </c>
      <c r="K16" s="750">
        <v>391153.1</v>
      </c>
      <c r="L16" s="985">
        <f>SUM(K16:K17)</f>
        <v>449466.88999999996</v>
      </c>
      <c r="M16" s="1010"/>
    </row>
    <row r="17" spans="8:16" ht="15.75" thickBot="1">
      <c r="H17" s="745">
        <f>+Hoja1!O64</f>
        <v>58313.79</v>
      </c>
      <c r="I17" s="1010"/>
      <c r="J17" s="736" t="s">
        <v>305</v>
      </c>
      <c r="K17" s="750">
        <v>58313.79</v>
      </c>
      <c r="L17" s="985"/>
      <c r="M17" s="1010"/>
      <c r="P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26.2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90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40939</v>
      </c>
      <c r="B25" s="471">
        <f>+Hoja1!X8</f>
        <v>433811.6066666667</v>
      </c>
      <c r="C25" s="471">
        <f>+Hoja1!Y8</f>
        <v>1.1626219247018579</v>
      </c>
      <c r="D25" s="471">
        <f>+B25*C25</f>
        <v>504358.8851008053</v>
      </c>
      <c r="E25" s="471">
        <f>+Hoja1!AA8</f>
        <v>449411.1499999999</v>
      </c>
      <c r="F25" s="752">
        <f>+Hoja1!AB8</f>
        <v>-0.10894570656730496</v>
      </c>
      <c r="G25" s="471">
        <f>+Hoja1!AC8</f>
        <v>449411.1499999999</v>
      </c>
      <c r="H25" s="475">
        <f>+G25-I25</f>
        <v>-55.73500000004424</v>
      </c>
      <c r="I25" s="471">
        <f>+Hoja1!R64</f>
        <v>449466.88499999995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5">
      <c r="A27" s="477"/>
      <c r="B27" s="478"/>
      <c r="C27" s="1004" t="s">
        <v>218</v>
      </c>
      <c r="D27" s="1007" t="s">
        <v>215</v>
      </c>
      <c r="E27" s="1004" t="s">
        <v>214</v>
      </c>
      <c r="F27" s="478"/>
      <c r="G27" s="478"/>
      <c r="H27" s="479"/>
      <c r="I27" s="478"/>
    </row>
    <row r="28" spans="1:9" ht="16.5" customHeight="1">
      <c r="A28" s="477"/>
      <c r="B28" s="478"/>
      <c r="C28" s="1005"/>
      <c r="D28" s="1008"/>
      <c r="E28" s="1005"/>
      <c r="F28" s="478"/>
      <c r="G28" s="478"/>
      <c r="H28" s="479"/>
      <c r="I28" s="478"/>
    </row>
    <row r="29" spans="3:5" ht="15.75" thickBot="1">
      <c r="C29" s="1006"/>
      <c r="D29" s="1009"/>
      <c r="E29" s="1006"/>
    </row>
    <row r="30" spans="2:6" ht="15.75" thickBot="1">
      <c r="B30" s="480">
        <v>40939</v>
      </c>
      <c r="C30" s="737">
        <f>H14-H16-H17</f>
        <v>-55.73500000000786</v>
      </c>
      <c r="D30" s="743">
        <f>H25-I26</f>
        <v>-55.73500000004424</v>
      </c>
      <c r="E30" s="733">
        <f>(D30-C30)/C30</f>
        <v>6.527278742426123E-13</v>
      </c>
      <c r="F30" s="476"/>
    </row>
    <row r="31" ht="15.75" thickBot="1"/>
    <row r="32" spans="1:10" ht="15.75" thickBot="1">
      <c r="A32" s="988" t="s">
        <v>208</v>
      </c>
      <c r="B32" s="989"/>
      <c r="C32" s="989"/>
      <c r="D32" s="989"/>
      <c r="E32" s="989"/>
      <c r="F32" s="989"/>
      <c r="G32" s="989"/>
      <c r="H32" s="451">
        <f>+IF(C30&lt;=0,D30,C30)</f>
        <v>-55.73500000004424</v>
      </c>
      <c r="I32" s="721"/>
      <c r="J32" s="484"/>
    </row>
    <row r="33" spans="1:13" ht="15.75" thickBot="1">
      <c r="A33" s="988" t="s">
        <v>213</v>
      </c>
      <c r="B33" s="989"/>
      <c r="C33" s="989"/>
      <c r="D33" s="989"/>
      <c r="E33" s="989"/>
      <c r="F33" s="989"/>
      <c r="G33" s="989"/>
      <c r="H33" s="451">
        <f>H12+H32-K12-K13</f>
        <v>-55.73500000004424</v>
      </c>
      <c r="I33" s="722"/>
      <c r="J33" s="738"/>
      <c r="L33" s="747"/>
      <c r="M33" s="747"/>
    </row>
    <row r="34" ht="15.75" thickBot="1"/>
    <row r="35" spans="1:9" ht="15.75" thickBot="1">
      <c r="A35" s="998" t="s">
        <v>284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4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N37" s="714" t="s">
        <v>298</v>
      </c>
    </row>
    <row r="38" spans="1:14" ht="15">
      <c r="A38" s="465" t="s">
        <v>211</v>
      </c>
      <c r="B38" s="443">
        <f>+Hoja1!B121</f>
        <v>65740</v>
      </c>
      <c r="C38" s="447">
        <f>+B38*5</f>
        <v>328700</v>
      </c>
      <c r="D38" s="715">
        <f>+Hoja1!L33</f>
        <v>2.71</v>
      </c>
      <c r="E38" s="447">
        <f>B38*D38</f>
        <v>178155.4</v>
      </c>
      <c r="F38" s="688">
        <f>+Hoja1!L34</f>
        <v>0.69</v>
      </c>
      <c r="G38" s="447">
        <f>B38*F38</f>
        <v>45360.6</v>
      </c>
      <c r="H38" s="717">
        <f>+Hoja1!L35</f>
        <v>1.6</v>
      </c>
      <c r="I38" s="447">
        <f>B38*H38</f>
        <v>105184</v>
      </c>
      <c r="N38" s="94">
        <f>+E38+G38+I38</f>
        <v>328700</v>
      </c>
    </row>
    <row r="39" spans="1:14" ht="15">
      <c r="A39" s="466" t="s">
        <v>212</v>
      </c>
      <c r="B39" s="444">
        <f>+Hoja1!J121</f>
        <v>180135</v>
      </c>
      <c r="C39" s="448">
        <f>+B39*5.06</f>
        <v>911483.1</v>
      </c>
      <c r="D39" s="690">
        <f>+Hoja1!M33</f>
        <v>2.77</v>
      </c>
      <c r="E39" s="448">
        <f>B39*D39</f>
        <v>498973.95</v>
      </c>
      <c r="F39" s="690">
        <f>+Hoja1!M34</f>
        <v>0.69</v>
      </c>
      <c r="G39" s="448">
        <f>B39*F39</f>
        <v>124293.15</v>
      </c>
      <c r="H39" s="718">
        <f>+Hoja1!M35</f>
        <v>1.6</v>
      </c>
      <c r="I39" s="448">
        <f>B39*H39</f>
        <v>288216</v>
      </c>
      <c r="N39" s="94">
        <f>+E39+G39+I39</f>
        <v>911483.1</v>
      </c>
    </row>
    <row r="40" spans="1:14" ht="15.75" thickBot="1">
      <c r="A40" s="445" t="s">
        <v>46</v>
      </c>
      <c r="B40" s="446">
        <f>+Hoja1!R121</f>
        <v>19980</v>
      </c>
      <c r="C40" s="468">
        <f>+B40*4.02</f>
        <v>80319.59999999999</v>
      </c>
      <c r="D40" s="689">
        <f>+Hoja1!N33</f>
        <v>2.32</v>
      </c>
      <c r="E40" s="468">
        <f>B40*D40</f>
        <v>46353.6</v>
      </c>
      <c r="F40" s="716">
        <f>+Hoja1!N34</f>
        <v>0.4</v>
      </c>
      <c r="G40" s="468">
        <f>B40*F40</f>
        <v>7992</v>
      </c>
      <c r="H40" s="716">
        <f>+Hoja1!N35</f>
        <v>1.3</v>
      </c>
      <c r="I40" s="468">
        <f>B40*H40</f>
        <v>25974</v>
      </c>
      <c r="N40" s="94">
        <f>+E40+G40+I40</f>
        <v>80319.6</v>
      </c>
    </row>
    <row r="41" spans="1:14" ht="15.75" thickBot="1">
      <c r="A41" s="450" t="s">
        <v>132</v>
      </c>
      <c r="B41" s="467">
        <f>SUM(B38:B40)</f>
        <v>265855</v>
      </c>
      <c r="C41" s="427">
        <f>SUM(C38:C40)</f>
        <v>1320502.7000000002</v>
      </c>
      <c r="D41" s="426"/>
      <c r="E41" s="427">
        <f>SUM(E38:E40)</f>
        <v>723482.95</v>
      </c>
      <c r="F41" s="426"/>
      <c r="G41" s="427">
        <f>SUM(G38:G40)</f>
        <v>177645.75</v>
      </c>
      <c r="H41" s="426"/>
      <c r="I41" s="427">
        <f>SUM(I38:I40)</f>
        <v>419374</v>
      </c>
      <c r="N41" s="94">
        <f>SUM(N38:N40)</f>
        <v>1320502.7000000002</v>
      </c>
    </row>
    <row r="42" spans="1:14" ht="15">
      <c r="A42" s="128"/>
      <c r="B42" s="647"/>
      <c r="C42" s="632"/>
      <c r="D42" s="58"/>
      <c r="E42" s="632"/>
      <c r="F42" s="58"/>
      <c r="G42" s="632"/>
      <c r="H42" s="58"/>
      <c r="I42" s="632"/>
      <c r="N42" s="94"/>
    </row>
    <row r="43" ht="15.75" thickBot="1">
      <c r="J43" t="s">
        <v>310</v>
      </c>
    </row>
    <row r="44" spans="1:13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177645.75</v>
      </c>
      <c r="I44" s="721"/>
      <c r="J44" s="736" t="s">
        <v>319</v>
      </c>
      <c r="K44" s="750">
        <v>150458.56</v>
      </c>
      <c r="L44" s="985">
        <f>SUM(K44:K45)</f>
        <v>177645.75</v>
      </c>
      <c r="M44" s="749"/>
    </row>
    <row r="45" spans="10:13" ht="15.75" thickBot="1">
      <c r="J45" s="736" t="s">
        <v>308</v>
      </c>
      <c r="K45" s="750">
        <v>27187.19</v>
      </c>
      <c r="L45" s="985"/>
      <c r="M45" s="749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723482.95</v>
      </c>
      <c r="J46" s="736"/>
      <c r="K46" s="714"/>
    </row>
    <row r="47" spans="10:11" ht="15.75" thickBot="1">
      <c r="J47" s="736"/>
      <c r="K47" s="714"/>
    </row>
    <row r="48" spans="1:13" ht="15.75" thickBot="1">
      <c r="A48" s="988" t="s">
        <v>221</v>
      </c>
      <c r="B48" s="989"/>
      <c r="C48" s="989"/>
      <c r="D48" s="989"/>
      <c r="E48" s="989"/>
      <c r="F48" s="989"/>
      <c r="G48" s="989"/>
      <c r="H48" s="751">
        <f>Hoja1!J47</f>
        <v>622539.3450000001</v>
      </c>
      <c r="J48" s="736" t="s">
        <v>307</v>
      </c>
      <c r="K48" s="750">
        <v>622539.35</v>
      </c>
      <c r="L48" s="985">
        <f>SUM(K48:K49)</f>
        <v>723571.23</v>
      </c>
      <c r="M48" s="749"/>
    </row>
    <row r="49" spans="8:13" ht="15.75" thickBot="1">
      <c r="H49" s="748">
        <f>+Hoja1!O47</f>
        <v>101031.88</v>
      </c>
      <c r="J49" s="736" t="s">
        <v>305</v>
      </c>
      <c r="K49" s="750">
        <v>101031.88</v>
      </c>
      <c r="L49" s="985"/>
      <c r="M49" s="749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26.2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90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9" ht="15.75" thickBot="1">
      <c r="A57" s="470">
        <v>40939</v>
      </c>
      <c r="B57" s="471">
        <f>+Hoja1!AI8</f>
        <v>643937.65</v>
      </c>
      <c r="C57" s="471">
        <f>+Hoja1!AJ8</f>
        <v>1.1729535427303008</v>
      </c>
      <c r="D57" s="471">
        <f>+B57*C57</f>
        <v>755308.9478649246</v>
      </c>
      <c r="E57" s="471">
        <f>+Hoja1!AL8</f>
        <v>723482.9500000001</v>
      </c>
      <c r="F57" s="752">
        <f>+Hoja1!AM8</f>
        <v>-0.04213639723836037</v>
      </c>
      <c r="G57" s="471">
        <f>+Hoja1!AN8</f>
        <v>723482.9500000001</v>
      </c>
      <c r="H57" s="475">
        <f>+G57-I57</f>
        <v>-88.27500000002328</v>
      </c>
      <c r="I57" s="471">
        <f>+Hoja1!R47</f>
        <v>723571.2250000001</v>
      </c>
    </row>
    <row r="58" spans="1:9" ht="15.75" thickBot="1">
      <c r="A58" s="477"/>
      <c r="B58" s="478"/>
      <c r="C58" s="478"/>
      <c r="D58" s="478"/>
      <c r="E58" s="478"/>
      <c r="F58" s="478"/>
      <c r="G58" s="478"/>
      <c r="H58" s="479"/>
      <c r="I58" s="478"/>
    </row>
    <row r="59" spans="1:9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</row>
    <row r="60" spans="1:9" ht="15">
      <c r="A60" s="477"/>
      <c r="B60" s="478"/>
      <c r="C60" s="1005"/>
      <c r="D60" s="1008"/>
      <c r="E60" s="1005"/>
      <c r="F60" s="478"/>
      <c r="G60" s="478"/>
      <c r="H60" s="479"/>
      <c r="I60" s="478"/>
    </row>
    <row r="61" spans="3:5" ht="18.75" customHeight="1" thickBot="1">
      <c r="C61" s="1006"/>
      <c r="D61" s="1009"/>
      <c r="E61" s="1006"/>
    </row>
    <row r="62" spans="2:6" ht="15.75" thickBot="1">
      <c r="B62" s="480">
        <v>40939</v>
      </c>
      <c r="C62" s="737">
        <f>H46-H48-H49</f>
        <v>-88.2750000001397</v>
      </c>
      <c r="D62" s="427">
        <f>H57</f>
        <v>-88.27500000002328</v>
      </c>
      <c r="E62" s="481">
        <f>(D62-C62)/C62</f>
        <v>-1.3187801962815132E-12</v>
      </c>
      <c r="F62" s="476"/>
    </row>
    <row r="63" ht="15.75" thickBot="1"/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-88.27500000002328</v>
      </c>
      <c r="I64" s="721"/>
      <c r="J64" s="484"/>
    </row>
    <row r="65" spans="1:13" ht="15.75" thickBot="1">
      <c r="A65" s="988" t="s">
        <v>213</v>
      </c>
      <c r="B65" s="989"/>
      <c r="C65" s="989"/>
      <c r="D65" s="989"/>
      <c r="E65" s="989"/>
      <c r="F65" s="989"/>
      <c r="G65" s="989"/>
      <c r="H65" s="451">
        <f>H44+H64-K44-K45</f>
        <v>-88.27500000001965</v>
      </c>
      <c r="I65" s="722"/>
      <c r="J65" s="738"/>
      <c r="L65" s="747"/>
      <c r="M65" s="747"/>
    </row>
  </sheetData>
  <sheetProtection/>
  <mergeCells count="41">
    <mergeCell ref="M12:M13"/>
    <mergeCell ref="I16:I17"/>
    <mergeCell ref="M16:M17"/>
    <mergeCell ref="L44:L45"/>
    <mergeCell ref="L12:L13"/>
    <mergeCell ref="A35:I35"/>
    <mergeCell ref="A36:A37"/>
    <mergeCell ref="B36:B37"/>
    <mergeCell ref="C36:C37"/>
    <mergeCell ref="D36:E36"/>
    <mergeCell ref="A12:G12"/>
    <mergeCell ref="A64:G64"/>
    <mergeCell ref="A65:G65"/>
    <mergeCell ref="A55:A56"/>
    <mergeCell ref="C59:C61"/>
    <mergeCell ref="D59:D61"/>
    <mergeCell ref="E59:E61"/>
    <mergeCell ref="A53:I54"/>
    <mergeCell ref="C27:C29"/>
    <mergeCell ref="D27:D29"/>
    <mergeCell ref="E27:E29"/>
    <mergeCell ref="A32:G32"/>
    <mergeCell ref="A33:G33"/>
    <mergeCell ref="A44:G44"/>
    <mergeCell ref="A3:I3"/>
    <mergeCell ref="A4:A5"/>
    <mergeCell ref="B4:B5"/>
    <mergeCell ref="C4:C5"/>
    <mergeCell ref="D4:E4"/>
    <mergeCell ref="F4:G4"/>
    <mergeCell ref="H4:I4"/>
    <mergeCell ref="L48:L49"/>
    <mergeCell ref="L16:L17"/>
    <mergeCell ref="F36:G36"/>
    <mergeCell ref="A14:G14"/>
    <mergeCell ref="A16:G16"/>
    <mergeCell ref="A21:I22"/>
    <mergeCell ref="H36:I36"/>
    <mergeCell ref="A23:A24"/>
    <mergeCell ref="A46:G46"/>
    <mergeCell ref="A48:G48"/>
  </mergeCells>
  <printOptions/>
  <pageMargins left="0.27" right="0.17" top="0.21" bottom="0.17" header="0" footer="0"/>
  <pageSetup horizontalDpi="600" verticalDpi="600" orientation="landscape" paperSize="5" scale="91" r:id="rId2"/>
  <rowBreaks count="1" manualBreakCount="1">
    <brk id="3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A2">
      <selection activeCell="O12" sqref="O12:O16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57421875" style="0" bestFit="1" customWidth="1"/>
    <col min="6" max="6" width="11.57421875" style="0" bestFit="1" customWidth="1"/>
    <col min="7" max="7" width="16.57421875" style="0" customWidth="1"/>
    <col min="8" max="8" width="14.57421875" style="0" customWidth="1"/>
    <col min="9" max="9" width="12.57421875" style="0" customWidth="1"/>
    <col min="10" max="10" width="16.7109375" style="0" customWidth="1"/>
    <col min="11" max="11" width="16.00390625" style="0" customWidth="1"/>
    <col min="12" max="13" width="14.28125" style="0" customWidth="1"/>
    <col min="14" max="14" width="13.28125" style="0" bestFit="1" customWidth="1"/>
    <col min="16" max="16" width="11.57421875" style="0" bestFit="1" customWidth="1"/>
  </cols>
  <sheetData>
    <row r="2" ht="15.75" thickBot="1"/>
    <row r="3" spans="1:9" ht="15.75" thickBot="1">
      <c r="A3" s="998" t="s">
        <v>285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4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N5" s="714" t="s">
        <v>298</v>
      </c>
    </row>
    <row r="6" spans="1:14" ht="15">
      <c r="A6" s="465" t="s">
        <v>211</v>
      </c>
      <c r="B6" s="739">
        <f>+Hoja1!B104</f>
        <v>59710</v>
      </c>
      <c r="C6" s="447">
        <f>+B6*5</f>
        <v>298550</v>
      </c>
      <c r="D6" s="715">
        <f>+Hoja1!L33</f>
        <v>2.71</v>
      </c>
      <c r="E6" s="447">
        <f>B6*D6</f>
        <v>161814.1</v>
      </c>
      <c r="F6" s="688">
        <f>+Hoja1!L34</f>
        <v>0.69</v>
      </c>
      <c r="G6" s="447">
        <f>B6*F6</f>
        <v>41199.899999999994</v>
      </c>
      <c r="H6" s="717">
        <f>+Hoja1!L35</f>
        <v>1.6</v>
      </c>
      <c r="I6" s="447">
        <f>B6*H6</f>
        <v>95536</v>
      </c>
      <c r="J6" s="94"/>
      <c r="N6" s="94">
        <f>+E6+G6+I6</f>
        <v>298550</v>
      </c>
    </row>
    <row r="7" spans="1:14" ht="15">
      <c r="A7" s="466" t="s">
        <v>212</v>
      </c>
      <c r="B7" s="740">
        <f>+Hoja1!J104</f>
        <v>98865</v>
      </c>
      <c r="C7" s="448">
        <f>+B7*5.06</f>
        <v>500256.89999999997</v>
      </c>
      <c r="D7" s="690">
        <f>+Hoja1!M33</f>
        <v>2.77</v>
      </c>
      <c r="E7" s="448">
        <f>B7*D7</f>
        <v>273856.05</v>
      </c>
      <c r="F7" s="690">
        <f>+Hoja1!M34</f>
        <v>0.69</v>
      </c>
      <c r="G7" s="448">
        <f>B7*F7</f>
        <v>68216.84999999999</v>
      </c>
      <c r="H7" s="718">
        <f>+Hoja1!M35</f>
        <v>1.6</v>
      </c>
      <c r="I7" s="448">
        <f>B7*H7</f>
        <v>158184</v>
      </c>
      <c r="N7" s="94">
        <f>+E7+G7+I7</f>
        <v>500256.89999999997</v>
      </c>
    </row>
    <row r="8" spans="1:14" ht="15.75" thickBot="1">
      <c r="A8" s="445" t="s">
        <v>46</v>
      </c>
      <c r="B8" s="741">
        <f>+Hoja1!R104</f>
        <v>14580</v>
      </c>
      <c r="C8" s="468">
        <f>+B8*4.02</f>
        <v>58611.59999999999</v>
      </c>
      <c r="D8" s="689">
        <f>+Hoja1!N33</f>
        <v>2.32</v>
      </c>
      <c r="E8" s="468">
        <f>B8*D8</f>
        <v>33825.6</v>
      </c>
      <c r="F8" s="716">
        <f>+Hoja1!N34</f>
        <v>0.4</v>
      </c>
      <c r="G8" s="468">
        <f>B8*F8</f>
        <v>5832</v>
      </c>
      <c r="H8" s="716">
        <f>+Hoja1!N35</f>
        <v>1.3</v>
      </c>
      <c r="I8" s="468">
        <f>B8*H8</f>
        <v>18954</v>
      </c>
      <c r="N8" s="94">
        <f>+E8+G8+I8</f>
        <v>58611.6</v>
      </c>
    </row>
    <row r="9" spans="1:14" ht="15.75" thickBot="1">
      <c r="A9" s="450" t="s">
        <v>132</v>
      </c>
      <c r="B9" s="742">
        <f>SUM(B6:B8)</f>
        <v>173155</v>
      </c>
      <c r="C9" s="427">
        <f>SUM(C6:C8)</f>
        <v>857418.4999999999</v>
      </c>
      <c r="D9" s="426"/>
      <c r="E9" s="427">
        <f>SUM(E6:E8)</f>
        <v>469495.75</v>
      </c>
      <c r="F9" s="426"/>
      <c r="G9" s="427">
        <f>SUM(G6:G8)</f>
        <v>115248.74999999999</v>
      </c>
      <c r="H9" s="627"/>
      <c r="I9" s="427">
        <f>SUM(I6:I8)</f>
        <v>272674</v>
      </c>
      <c r="N9" s="94">
        <f>SUM(N6:N8)</f>
        <v>857418.4999999999</v>
      </c>
    </row>
    <row r="10" ht="15">
      <c r="G10" s="94"/>
    </row>
    <row r="11" ht="15.75" thickBot="1">
      <c r="J11" t="s">
        <v>310</v>
      </c>
    </row>
    <row r="12" spans="1:13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115248.74999999999</v>
      </c>
      <c r="I12" s="721"/>
      <c r="J12" s="736" t="s">
        <v>314</v>
      </c>
      <c r="K12" s="750">
        <v>93113.44</v>
      </c>
      <c r="L12" s="985">
        <f>SUM(K12:K13)</f>
        <v>115248.75</v>
      </c>
      <c r="M12" s="749"/>
    </row>
    <row r="13" spans="10:13" ht="15.75" thickBot="1">
      <c r="J13" s="736" t="s">
        <v>308</v>
      </c>
      <c r="K13" s="750">
        <v>22135.31</v>
      </c>
      <c r="L13" s="985"/>
      <c r="M13" s="749"/>
    </row>
    <row r="14" spans="1:13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469495.75</v>
      </c>
      <c r="K14" s="714"/>
      <c r="L14" s="747"/>
      <c r="M14" s="747"/>
    </row>
    <row r="15" spans="11:13" ht="15.75" thickBot="1">
      <c r="K15" s="753"/>
      <c r="L15" s="516"/>
      <c r="M15" s="516"/>
    </row>
    <row r="16" spans="1:13" ht="15.75" thickBot="1">
      <c r="A16" s="1011" t="s">
        <v>217</v>
      </c>
      <c r="B16" s="1012"/>
      <c r="C16" s="1012"/>
      <c r="D16" s="1012"/>
      <c r="E16" s="1012"/>
      <c r="F16" s="1012"/>
      <c r="G16" s="1012"/>
      <c r="H16" s="744">
        <f>+Hoja1!J65</f>
        <v>409137.425</v>
      </c>
      <c r="J16" s="736" t="s">
        <v>312</v>
      </c>
      <c r="K16" s="750">
        <v>409137.43</v>
      </c>
      <c r="L16" s="985">
        <f>SUM(K16:K17)</f>
        <v>469555.45999999996</v>
      </c>
      <c r="M16" s="749"/>
    </row>
    <row r="17" spans="8:16" ht="15.75" thickBot="1">
      <c r="H17" s="745">
        <f>+Hoja1!O65</f>
        <v>60418.03</v>
      </c>
      <c r="J17" s="736" t="s">
        <v>305</v>
      </c>
      <c r="K17" s="750">
        <v>60418.03</v>
      </c>
      <c r="L17" s="985"/>
      <c r="M17" s="749"/>
      <c r="P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26.2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40967</v>
      </c>
      <c r="B25" s="471">
        <f>+Hoja1!X9</f>
        <v>447416.055</v>
      </c>
      <c r="C25" s="471">
        <f>+Hoja1!Y9</f>
        <v>1.1666990667449142</v>
      </c>
      <c r="D25" s="471">
        <f>+B25*C25</f>
        <v>521999.8938151912</v>
      </c>
      <c r="E25" s="471">
        <f>+Hoja1!AA9</f>
        <v>469495.75</v>
      </c>
      <c r="F25" s="752">
        <f>+Hoja1!AB9</f>
        <v>-0.10058267144740021</v>
      </c>
      <c r="G25" s="471">
        <f>+Hoja1!AC9</f>
        <v>469495.75</v>
      </c>
      <c r="H25" s="475">
        <f>+G25-I25</f>
        <v>-59.70499999995809</v>
      </c>
      <c r="I25" s="471">
        <f>+Hoja1!R65</f>
        <v>469555.45499999996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40967</v>
      </c>
      <c r="C30" s="737">
        <f>H14-H16-H17</f>
        <v>-59.704999999987194</v>
      </c>
      <c r="D30" s="743">
        <f>H25-I26</f>
        <v>-59.70499999995809</v>
      </c>
      <c r="E30" s="733">
        <f>(D30-C30)/C30</f>
        <v>-4.874605218447357E-13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-59.70499999995809</v>
      </c>
      <c r="I32" s="721"/>
      <c r="J32" s="484"/>
    </row>
    <row r="33" spans="1:13" ht="15.75" thickBot="1">
      <c r="A33" s="1011" t="s">
        <v>213</v>
      </c>
      <c r="B33" s="1012"/>
      <c r="C33" s="1012"/>
      <c r="D33" s="1012"/>
      <c r="E33" s="1012"/>
      <c r="F33" s="1012"/>
      <c r="G33" s="1012"/>
      <c r="H33" s="451">
        <f>H12+H32-K12-K13</f>
        <v>-59.70499999997628</v>
      </c>
      <c r="I33" s="722"/>
      <c r="J33" s="738"/>
      <c r="L33" s="747"/>
      <c r="M33" s="747"/>
    </row>
    <row r="34" ht="15.75" thickBot="1"/>
    <row r="35" spans="1:9" ht="15.75" thickBot="1">
      <c r="A35" s="998" t="s">
        <v>286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4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N37" s="714" t="s">
        <v>298</v>
      </c>
    </row>
    <row r="38" spans="1:14" ht="15">
      <c r="A38" s="465" t="s">
        <v>211</v>
      </c>
      <c r="B38" s="443">
        <f>+Hoja1!B122</f>
        <v>82340</v>
      </c>
      <c r="C38" s="447">
        <f>+B38*5</f>
        <v>411700</v>
      </c>
      <c r="D38" s="715">
        <f>+Hoja1!L33</f>
        <v>2.71</v>
      </c>
      <c r="E38" s="447">
        <f>B38*D38</f>
        <v>223141.4</v>
      </c>
      <c r="F38" s="688">
        <f>+Hoja1!L34</f>
        <v>0.69</v>
      </c>
      <c r="G38" s="447">
        <f>B38*F38</f>
        <v>56814.6</v>
      </c>
      <c r="H38" s="717">
        <f>+Hoja1!L35</f>
        <v>1.6</v>
      </c>
      <c r="I38" s="447">
        <f>B38*H38</f>
        <v>131744</v>
      </c>
      <c r="N38" s="94">
        <f>+E38+G38+I38</f>
        <v>411700</v>
      </c>
    </row>
    <row r="39" spans="1:14" ht="15">
      <c r="A39" s="466" t="s">
        <v>212</v>
      </c>
      <c r="B39" s="444">
        <f>+Hoja1!J122</f>
        <v>213210</v>
      </c>
      <c r="C39" s="448">
        <f>+B39*5.06</f>
        <v>1078842.5999999999</v>
      </c>
      <c r="D39" s="690">
        <f>+Hoja1!M33</f>
        <v>2.77</v>
      </c>
      <c r="E39" s="448">
        <f>B39*D39</f>
        <v>590591.7</v>
      </c>
      <c r="F39" s="690">
        <f>+Hoja1!M34</f>
        <v>0.69</v>
      </c>
      <c r="G39" s="448">
        <f>B39*F39</f>
        <v>147114.9</v>
      </c>
      <c r="H39" s="718">
        <f>+Hoja1!M35</f>
        <v>1.6</v>
      </c>
      <c r="I39" s="448">
        <f>B39*H39</f>
        <v>341136</v>
      </c>
      <c r="N39" s="94">
        <f>+E39+G39+I39</f>
        <v>1078842.6</v>
      </c>
    </row>
    <row r="40" spans="1:14" ht="15.75" thickBot="1">
      <c r="A40" s="445" t="s">
        <v>46</v>
      </c>
      <c r="B40" s="446">
        <f>+Hoja1!R122</f>
        <v>19800</v>
      </c>
      <c r="C40" s="468">
        <f>+B40*4.02</f>
        <v>79595.99999999999</v>
      </c>
      <c r="D40" s="689">
        <f>+Hoja1!N33</f>
        <v>2.32</v>
      </c>
      <c r="E40" s="468">
        <f>B40*D40</f>
        <v>45936</v>
      </c>
      <c r="F40" s="716">
        <f>+Hoja1!N34</f>
        <v>0.4</v>
      </c>
      <c r="G40" s="468">
        <f>B40*F40</f>
        <v>7920</v>
      </c>
      <c r="H40" s="716">
        <f>+Hoja1!N35</f>
        <v>1.3</v>
      </c>
      <c r="I40" s="468">
        <f>B40*H40</f>
        <v>25740</v>
      </c>
      <c r="N40" s="94">
        <f>+E40+G40+I40</f>
        <v>79596</v>
      </c>
    </row>
    <row r="41" spans="1:14" ht="15.75" thickBot="1">
      <c r="A41" s="450" t="s">
        <v>132</v>
      </c>
      <c r="B41" s="467">
        <f>SUM(B38:B40)</f>
        <v>315350</v>
      </c>
      <c r="C41" s="427">
        <f>SUM(C38:C40)</f>
        <v>1570138.5999999999</v>
      </c>
      <c r="D41" s="426"/>
      <c r="E41" s="427">
        <f>SUM(E38:E40)</f>
        <v>859669.1</v>
      </c>
      <c r="F41" s="426"/>
      <c r="G41" s="427">
        <f>SUM(G38:G40)</f>
        <v>211849.5</v>
      </c>
      <c r="H41" s="426"/>
      <c r="I41" s="427">
        <f>SUM(I38:I40)</f>
        <v>498620</v>
      </c>
      <c r="N41" s="754">
        <f>SUM(N38:N40)</f>
        <v>1570138.6</v>
      </c>
    </row>
    <row r="42" spans="1:14" ht="15">
      <c r="A42" s="128"/>
      <c r="B42" s="647"/>
      <c r="C42" s="632"/>
      <c r="D42" s="58"/>
      <c r="E42" s="632"/>
      <c r="F42" s="58"/>
      <c r="G42" s="632"/>
      <c r="H42" s="58"/>
      <c r="I42" s="632"/>
      <c r="N42" s="94"/>
    </row>
    <row r="43" ht="15.75" thickBot="1">
      <c r="J43" t="s">
        <v>310</v>
      </c>
    </row>
    <row r="44" spans="1:13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211849.5</v>
      </c>
      <c r="I44" s="721" t="s">
        <v>267</v>
      </c>
      <c r="J44" s="736" t="s">
        <v>313</v>
      </c>
      <c r="K44" s="750">
        <v>198385.21</v>
      </c>
      <c r="L44" s="985">
        <f>SUM(K44:K45)</f>
        <v>231492.94999999998</v>
      </c>
      <c r="M44" s="1010" t="s">
        <v>300</v>
      </c>
    </row>
    <row r="45" spans="10:13" ht="15.75" thickBot="1">
      <c r="J45" s="736" t="s">
        <v>308</v>
      </c>
      <c r="K45" s="750">
        <v>33107.74</v>
      </c>
      <c r="L45" s="985"/>
      <c r="M45" s="1010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859669.1</v>
      </c>
      <c r="K46" s="714"/>
    </row>
    <row r="47" ht="15.75" thickBot="1">
      <c r="K47" s="714"/>
    </row>
    <row r="48" spans="1:13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Hoja1!J48</f>
        <v>721507.47</v>
      </c>
      <c r="I48" s="1010" t="s">
        <v>270</v>
      </c>
      <c r="J48" s="736" t="s">
        <v>315</v>
      </c>
      <c r="K48" s="750">
        <v>721507.47</v>
      </c>
      <c r="L48" s="985">
        <f>SUM(K48:K49)</f>
        <v>739954.57</v>
      </c>
      <c r="M48" s="1010" t="s">
        <v>320</v>
      </c>
    </row>
    <row r="49" spans="8:13" ht="15.75" thickBot="1">
      <c r="H49" s="748">
        <f>+Hoja1!O48</f>
        <v>18447.1</v>
      </c>
      <c r="I49" s="1010"/>
      <c r="J49" s="736" t="s">
        <v>305</v>
      </c>
      <c r="K49" s="750">
        <v>18447.1</v>
      </c>
      <c r="L49" s="985"/>
      <c r="M49" s="1010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26.2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9" ht="15.75" thickBot="1">
      <c r="A57" s="470">
        <v>40967</v>
      </c>
      <c r="B57" s="471">
        <f>+Hoja1!AI9</f>
        <v>626415.2100000001</v>
      </c>
      <c r="C57" s="471">
        <f>+Hoja1!AJ9</f>
        <v>1.1704692945076067</v>
      </c>
      <c r="D57" s="471">
        <f>+B57*C57</f>
        <v>733199.7689175344</v>
      </c>
      <c r="E57" s="471">
        <f>+Hoja1!AL9</f>
        <v>859669.0999999999</v>
      </c>
      <c r="F57" s="752">
        <f>+Hoja1!AM9</f>
        <v>0.17248959484695356</v>
      </c>
      <c r="G57" s="471">
        <f>+Hoja1!AN9</f>
        <v>733199.7689175344</v>
      </c>
      <c r="H57" s="475">
        <f>+G57-I57</f>
        <v>-6754.801082465565</v>
      </c>
      <c r="I57" s="471">
        <f>+Hoja1!R48</f>
        <v>739954.57</v>
      </c>
    </row>
    <row r="58" spans="1:9" ht="15.75" thickBot="1">
      <c r="A58" s="477"/>
      <c r="B58" s="478"/>
      <c r="C58" s="478"/>
      <c r="D58" s="478"/>
      <c r="E58" s="478"/>
      <c r="F58" s="478"/>
      <c r="G58" s="478"/>
      <c r="H58" s="479"/>
      <c r="I58" s="478"/>
    </row>
    <row r="59" spans="1:9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</row>
    <row r="60" spans="1:10" ht="15">
      <c r="A60" s="477"/>
      <c r="B60" s="478"/>
      <c r="C60" s="1005"/>
      <c r="D60" s="1008"/>
      <c r="E60" s="1005"/>
      <c r="F60" s="478"/>
      <c r="G60" s="478"/>
      <c r="H60" s="479"/>
      <c r="I60" s="478"/>
      <c r="J60" s="747"/>
    </row>
    <row r="61" spans="3:10" ht="18.75" customHeight="1" thickBot="1">
      <c r="C61" s="1006"/>
      <c r="D61" s="1009"/>
      <c r="E61" s="1006"/>
      <c r="J61" s="747"/>
    </row>
    <row r="62" spans="2:10" ht="15.75" thickBot="1">
      <c r="B62" s="480">
        <v>40967</v>
      </c>
      <c r="C62" s="737">
        <f>H46-H48-H49</f>
        <v>119714.53</v>
      </c>
      <c r="D62" s="427">
        <f>H57</f>
        <v>-6754.801082465565</v>
      </c>
      <c r="E62" s="481">
        <f>(D62-C62)/C62</f>
        <v>-1.0564242375797288</v>
      </c>
      <c r="F62" s="476"/>
      <c r="J62" s="747"/>
    </row>
    <row r="63" ht="15.75" thickBot="1"/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119714.53</v>
      </c>
      <c r="I64" s="721"/>
      <c r="J64" s="484"/>
    </row>
    <row r="65" spans="1:13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100071.08000000005</v>
      </c>
      <c r="I65" s="722"/>
      <c r="J65" s="738"/>
      <c r="L65" s="747"/>
      <c r="M65" s="747"/>
    </row>
  </sheetData>
  <sheetProtection/>
  <mergeCells count="41">
    <mergeCell ref="E59:E61"/>
    <mergeCell ref="A48:G48"/>
    <mergeCell ref="C59:C61"/>
    <mergeCell ref="D59:D61"/>
    <mergeCell ref="B36:B37"/>
    <mergeCell ref="C36:C37"/>
    <mergeCell ref="D36:E36"/>
    <mergeCell ref="F36:G36"/>
    <mergeCell ref="M44:M45"/>
    <mergeCell ref="M48:M49"/>
    <mergeCell ref="I48:I49"/>
    <mergeCell ref="A65:G65"/>
    <mergeCell ref="L48:L49"/>
    <mergeCell ref="L12:L13"/>
    <mergeCell ref="A44:G44"/>
    <mergeCell ref="L44:L45"/>
    <mergeCell ref="A46:G46"/>
    <mergeCell ref="A64:G64"/>
    <mergeCell ref="A53:I54"/>
    <mergeCell ref="A55:A56"/>
    <mergeCell ref="A35:I35"/>
    <mergeCell ref="A16:G16"/>
    <mergeCell ref="A21:I22"/>
    <mergeCell ref="H36:I36"/>
    <mergeCell ref="A23:A24"/>
    <mergeCell ref="C27:C29"/>
    <mergeCell ref="D27:D29"/>
    <mergeCell ref="E27:E29"/>
    <mergeCell ref="A32:G32"/>
    <mergeCell ref="A33:G33"/>
    <mergeCell ref="A36:A37"/>
    <mergeCell ref="L16:L17"/>
    <mergeCell ref="A12:G12"/>
    <mergeCell ref="A3:I3"/>
    <mergeCell ref="A4:A5"/>
    <mergeCell ref="B4:B5"/>
    <mergeCell ref="C4:C5"/>
    <mergeCell ref="D4:E4"/>
    <mergeCell ref="F4:G4"/>
    <mergeCell ref="H4:I4"/>
    <mergeCell ref="A14:G14"/>
  </mergeCells>
  <printOptions/>
  <pageMargins left="0.4" right="0.17" top="0.43" bottom="0.17" header="0" footer="0"/>
  <pageSetup horizontalDpi="600" verticalDpi="600" orientation="landscape" paperSize="5" scale="89" r:id="rId2"/>
  <rowBreaks count="1" manualBreakCount="1">
    <brk id="33" max="255" man="1"/>
  </rowBreaks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67"/>
  <sheetViews>
    <sheetView zoomScalePageLayoutView="0" workbookViewId="0" topLeftCell="A1">
      <selection activeCell="N12" sqref="N12:N16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57421875" style="0" bestFit="1" customWidth="1"/>
    <col min="6" max="6" width="11.57421875" style="0" bestFit="1" customWidth="1"/>
    <col min="7" max="7" width="16.57421875" style="0" customWidth="1"/>
    <col min="8" max="8" width="14.57421875" style="0" customWidth="1"/>
    <col min="9" max="9" width="12.57421875" style="0" customWidth="1"/>
    <col min="10" max="10" width="16.7109375" style="0" customWidth="1"/>
    <col min="11" max="11" width="16.00390625" style="0" customWidth="1"/>
    <col min="12" max="12" width="14.28125" style="0" customWidth="1"/>
    <col min="13" max="13" width="13.28125" style="0" bestFit="1" customWidth="1"/>
    <col min="14" max="14" width="15.7109375" style="0" customWidth="1"/>
    <col min="15" max="15" width="13.140625" style="0" bestFit="1" customWidth="1"/>
    <col min="16" max="16" width="12.28125" style="0" bestFit="1" customWidth="1"/>
  </cols>
  <sheetData>
    <row r="2" ht="15.75" thickBot="1"/>
    <row r="3" spans="1:9" ht="15.75" thickBot="1">
      <c r="A3" s="998" t="s">
        <v>287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+Hoja1!B105</f>
        <v>62695</v>
      </c>
      <c r="C6" s="447">
        <f>+B6*5</f>
        <v>313475</v>
      </c>
      <c r="D6" s="715">
        <f>+Hoja1!L33</f>
        <v>2.71</v>
      </c>
      <c r="E6" s="447">
        <f>B6*D6</f>
        <v>169903.45</v>
      </c>
      <c r="F6" s="688">
        <f>+Hoja1!L34</f>
        <v>0.69</v>
      </c>
      <c r="G6" s="447">
        <f>B6*F6</f>
        <v>43259.549999999996</v>
      </c>
      <c r="H6" s="717">
        <f>+Hoja1!L35</f>
        <v>1.6</v>
      </c>
      <c r="I6" s="447">
        <f>B6*H6</f>
        <v>100312</v>
      </c>
      <c r="J6" s="94"/>
      <c r="M6" s="94">
        <f>+E6+G6+I6</f>
        <v>313475</v>
      </c>
    </row>
    <row r="7" spans="1:13" ht="15">
      <c r="A7" s="466" t="s">
        <v>212</v>
      </c>
      <c r="B7" s="740">
        <f>+Hoja1!J105</f>
        <v>107595</v>
      </c>
      <c r="C7" s="448">
        <f>+B7*5.06</f>
        <v>544430.7</v>
      </c>
      <c r="D7" s="690">
        <f>+Hoja1!M33</f>
        <v>2.77</v>
      </c>
      <c r="E7" s="448">
        <f>B7*D7</f>
        <v>298038.15</v>
      </c>
      <c r="F7" s="690">
        <f>+Hoja1!M34</f>
        <v>0.69</v>
      </c>
      <c r="G7" s="448">
        <f>B7*F7</f>
        <v>74240.54999999999</v>
      </c>
      <c r="H7" s="718">
        <f>+Hoja1!M35</f>
        <v>1.6</v>
      </c>
      <c r="I7" s="448">
        <f>B7*H7</f>
        <v>172152</v>
      </c>
      <c r="M7" s="94">
        <f>+E7+G7+I7</f>
        <v>544430.7</v>
      </c>
    </row>
    <row r="8" spans="1:13" ht="15.75" thickBot="1">
      <c r="A8" s="445" t="s">
        <v>46</v>
      </c>
      <c r="B8" s="741">
        <f>+Hoja1!R105</f>
        <v>19260</v>
      </c>
      <c r="C8" s="468">
        <f>+B8*4.02</f>
        <v>77425.2</v>
      </c>
      <c r="D8" s="689">
        <f>+Hoja1!N33</f>
        <v>2.32</v>
      </c>
      <c r="E8" s="468">
        <f>B8*D8</f>
        <v>44683.2</v>
      </c>
      <c r="F8" s="716">
        <f>+Hoja1!N34</f>
        <v>0.4</v>
      </c>
      <c r="G8" s="468">
        <f>B8*F8</f>
        <v>7704</v>
      </c>
      <c r="H8" s="716">
        <f>+Hoja1!N35</f>
        <v>1.3</v>
      </c>
      <c r="I8" s="468">
        <f>B8*H8</f>
        <v>25038</v>
      </c>
      <c r="M8" s="94">
        <f>+E8+G8+I8</f>
        <v>77425.2</v>
      </c>
    </row>
    <row r="9" spans="1:13" ht="15.75" thickBot="1">
      <c r="A9" s="450" t="s">
        <v>132</v>
      </c>
      <c r="B9" s="742">
        <f>SUM(B6:B8)</f>
        <v>189550</v>
      </c>
      <c r="C9" s="427">
        <f>SUM(C6:C8)</f>
        <v>935330.8999999999</v>
      </c>
      <c r="D9" s="426"/>
      <c r="E9" s="427">
        <f>SUM(E6:E8)</f>
        <v>512624.80000000005</v>
      </c>
      <c r="F9" s="426"/>
      <c r="G9" s="427">
        <f>SUM(G6:G8)</f>
        <v>125204.09999999998</v>
      </c>
      <c r="H9" s="627"/>
      <c r="I9" s="427">
        <f>SUM(I6:I8)</f>
        <v>297502</v>
      </c>
      <c r="M9" s="94">
        <f>SUM(M6:M8)</f>
        <v>935330.8999999999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125204.09999999998</v>
      </c>
      <c r="I12" s="721"/>
      <c r="J12" s="736" t="s">
        <v>316</v>
      </c>
      <c r="K12" s="750">
        <v>101438.32</v>
      </c>
      <c r="L12" s="985">
        <f>SUM(K12:K13)</f>
        <v>125204.1</v>
      </c>
    </row>
    <row r="13" spans="10:12" ht="15.75" thickBot="1">
      <c r="J13" s="736" t="s">
        <v>308</v>
      </c>
      <c r="K13" s="750">
        <v>23765.78</v>
      </c>
      <c r="L13" s="985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512624.80000000005</v>
      </c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744">
        <f>+Hoja1!J66</f>
        <v>445831.91</v>
      </c>
      <c r="J16" s="736" t="s">
        <v>317</v>
      </c>
      <c r="K16" s="750">
        <v>445831.91</v>
      </c>
      <c r="L16" s="985">
        <f>SUM(K16:K17)</f>
        <v>512675.88</v>
      </c>
    </row>
    <row r="17" spans="8:15" ht="15.75" thickBot="1">
      <c r="H17" s="745">
        <f>+Hoja1!O66</f>
        <v>66843.97</v>
      </c>
      <c r="J17" s="736" t="s">
        <v>305</v>
      </c>
      <c r="K17" s="750">
        <v>66843.97</v>
      </c>
      <c r="L17" s="985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26.2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40999</v>
      </c>
      <c r="B25" s="471">
        <f>+Hoja1!X10</f>
        <v>451773.99</v>
      </c>
      <c r="C25" s="471">
        <f>+Hoja1!Y10</f>
        <v>1.1611246926298697</v>
      </c>
      <c r="D25" s="471">
        <f>+B25*C25</f>
        <v>524565.9352769199</v>
      </c>
      <c r="E25" s="471">
        <f>+Hoja1!AA10</f>
        <v>512624.80000000005</v>
      </c>
      <c r="F25" s="752">
        <f>+Hoja1!AB10</f>
        <v>-0.022763840489596513</v>
      </c>
      <c r="G25" s="471">
        <f>+Hoja1!AC10</f>
        <v>512624.80000000005</v>
      </c>
      <c r="H25" s="475">
        <f>+G25-I25</f>
        <v>-51.07999999995809</v>
      </c>
      <c r="I25" s="471">
        <f>+Hoja1!R66</f>
        <v>512675.88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40999</v>
      </c>
      <c r="C30" s="737">
        <f>H14-H16-H17</f>
        <v>-51.07999999992899</v>
      </c>
      <c r="D30" s="743">
        <f>H25-I26</f>
        <v>-51.07999999995809</v>
      </c>
      <c r="E30" s="733">
        <f>(D30-C30)/C30</f>
        <v>5.697695860762365E-13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-51.07999999995809</v>
      </c>
      <c r="I32" s="721"/>
      <c r="J32" s="484"/>
    </row>
    <row r="33" spans="1:12" ht="15.75" thickBot="1">
      <c r="A33" s="1011" t="s">
        <v>213</v>
      </c>
      <c r="B33" s="1012"/>
      <c r="C33" s="1012"/>
      <c r="D33" s="1012"/>
      <c r="E33" s="1012"/>
      <c r="F33" s="1012"/>
      <c r="G33" s="1012"/>
      <c r="H33" s="451">
        <f>H12+H32-K12-K13</f>
        <v>-51.079999999987194</v>
      </c>
      <c r="I33" s="722"/>
      <c r="J33" s="738"/>
      <c r="L33" s="747"/>
    </row>
    <row r="34" ht="15.75" thickBot="1"/>
    <row r="35" spans="1:9" ht="15.75" thickBot="1">
      <c r="A35" s="998" t="s">
        <v>288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+Hoja1!B123</f>
        <v>92390</v>
      </c>
      <c r="C38" s="447">
        <f>+B38*5</f>
        <v>461950</v>
      </c>
      <c r="D38" s="715">
        <f>+Hoja1!L33</f>
        <v>2.71</v>
      </c>
      <c r="E38" s="447">
        <f>B38*D38</f>
        <v>250376.9</v>
      </c>
      <c r="F38" s="688">
        <f>+Hoja1!L34</f>
        <v>0.69</v>
      </c>
      <c r="G38" s="447">
        <f>B38*F38</f>
        <v>63749.1</v>
      </c>
      <c r="H38" s="717">
        <f>+Hoja1!L35</f>
        <v>1.6</v>
      </c>
      <c r="I38" s="447">
        <f>B38*H38</f>
        <v>147824</v>
      </c>
      <c r="M38" s="94">
        <f>+E38+G38+I38</f>
        <v>461950</v>
      </c>
    </row>
    <row r="39" spans="1:13" ht="15">
      <c r="A39" s="466" t="s">
        <v>212</v>
      </c>
      <c r="B39" s="444">
        <f>+Hoja1!J123</f>
        <v>257895</v>
      </c>
      <c r="C39" s="448">
        <f>+B39*5.06</f>
        <v>1304948.7</v>
      </c>
      <c r="D39" s="690">
        <f>+Hoja1!M33</f>
        <v>2.77</v>
      </c>
      <c r="E39" s="448">
        <f>B39*D39</f>
        <v>714369.15</v>
      </c>
      <c r="F39" s="690">
        <f>+Hoja1!M34</f>
        <v>0.69</v>
      </c>
      <c r="G39" s="448">
        <f>B39*F39</f>
        <v>177947.55</v>
      </c>
      <c r="H39" s="718">
        <f>+Hoja1!M35</f>
        <v>1.6</v>
      </c>
      <c r="I39" s="448">
        <f>B39*H39</f>
        <v>412632</v>
      </c>
      <c r="M39" s="94">
        <f>+E39+G39+I39</f>
        <v>1304948.7</v>
      </c>
    </row>
    <row r="40" spans="1:13" ht="15.75" thickBot="1">
      <c r="A40" s="445" t="s">
        <v>46</v>
      </c>
      <c r="B40" s="446">
        <f>+Hoja1!R123</f>
        <v>22320</v>
      </c>
      <c r="C40" s="468">
        <f>+B40*4.02</f>
        <v>89726.4</v>
      </c>
      <c r="D40" s="689">
        <f>+Hoja1!N33</f>
        <v>2.32</v>
      </c>
      <c r="E40" s="468">
        <f>B40*D40</f>
        <v>51782.399999999994</v>
      </c>
      <c r="F40" s="716">
        <f>+Hoja1!N34</f>
        <v>0.4</v>
      </c>
      <c r="G40" s="468">
        <f>B40*F40</f>
        <v>8928</v>
      </c>
      <c r="H40" s="716">
        <f>+Hoja1!N35</f>
        <v>1.3</v>
      </c>
      <c r="I40" s="468">
        <f>B40*H40</f>
        <v>29016</v>
      </c>
      <c r="M40" s="94">
        <f>+E40+G40+I40</f>
        <v>89726.4</v>
      </c>
    </row>
    <row r="41" spans="1:13" ht="15.75" thickBot="1">
      <c r="A41" s="450" t="s">
        <v>132</v>
      </c>
      <c r="B41" s="467">
        <f>SUM(B38:B40)</f>
        <v>372605</v>
      </c>
      <c r="C41" s="427">
        <f>SUM(C38:C40)</f>
        <v>1856625.0999999999</v>
      </c>
      <c r="D41" s="426"/>
      <c r="E41" s="427">
        <f>SUM(E38:E40)</f>
        <v>1016528.4500000001</v>
      </c>
      <c r="F41" s="426"/>
      <c r="G41" s="427">
        <f>SUM(G38:G40)</f>
        <v>250624.65</v>
      </c>
      <c r="H41" s="426"/>
      <c r="I41" s="427">
        <f>SUM(I38:I40)</f>
        <v>589472</v>
      </c>
      <c r="M41" s="754">
        <f>SUM(M38:M40)</f>
        <v>1856625.0999999999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spans="10:15" ht="15.75" thickBot="1">
      <c r="J43" t="s">
        <v>310</v>
      </c>
      <c r="O43" s="747"/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250624.65</v>
      </c>
      <c r="I44" s="721"/>
      <c r="J44" s="736" t="s">
        <v>316</v>
      </c>
      <c r="K44" s="750">
        <v>314269.44</v>
      </c>
      <c r="L44" s="985">
        <f>SUM(K44:K45)</f>
        <v>352062.97</v>
      </c>
    </row>
    <row r="45" spans="10:12" ht="15.75" thickBot="1">
      <c r="J45" s="736" t="s">
        <v>308</v>
      </c>
      <c r="K45" s="750">
        <v>37793.53</v>
      </c>
      <c r="L45" s="985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1016528.4500000001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Hoja1!J49</f>
        <v>742709.05</v>
      </c>
      <c r="J48" s="736" t="s">
        <v>318</v>
      </c>
      <c r="K48" s="750">
        <v>742709.05</v>
      </c>
      <c r="L48" s="985">
        <f>SUM(K48:K49)</f>
        <v>768556.5700000001</v>
      </c>
    </row>
    <row r="49" spans="8:12" ht="15.75" thickBot="1">
      <c r="H49" s="748">
        <f>+Hoja1!O49</f>
        <v>25847.52</v>
      </c>
      <c r="J49" s="736" t="s">
        <v>305</v>
      </c>
      <c r="K49" s="750">
        <v>25847.52</v>
      </c>
      <c r="L49" s="985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26.2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9" ht="15.75" thickBot="1">
      <c r="A57" s="470">
        <v>40999</v>
      </c>
      <c r="B57" s="471">
        <f>+Hoja1!AI10</f>
        <v>684254.415</v>
      </c>
      <c r="C57" s="471">
        <f>+Hoja1!AJ10</f>
        <v>1.1730097545416782</v>
      </c>
      <c r="D57" s="471">
        <f>+B57*C57</f>
        <v>802637.1033832097</v>
      </c>
      <c r="E57" s="471">
        <f>+Hoja1!AL10</f>
        <v>1016528.45</v>
      </c>
      <c r="F57" s="752">
        <f>+Hoja1!AM10</f>
        <v>0.26648574519569695</v>
      </c>
      <c r="G57" s="471">
        <f>+Hoja1!AN10</f>
        <v>802637.1033832097</v>
      </c>
      <c r="H57" s="475">
        <f>+G57-I57</f>
        <v>34080.53338320961</v>
      </c>
      <c r="I57" s="471">
        <f>+Hoja1!R49</f>
        <v>768556.5700000001</v>
      </c>
    </row>
    <row r="58" spans="1:9" ht="15.75" thickBot="1">
      <c r="A58" s="477"/>
      <c r="B58" s="478"/>
      <c r="C58" s="478"/>
      <c r="D58" s="478"/>
      <c r="E58" s="478"/>
      <c r="F58" s="478"/>
      <c r="G58" s="478"/>
      <c r="H58" s="479"/>
      <c r="I58" s="478"/>
    </row>
    <row r="59" spans="1:9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</row>
    <row r="60" spans="1:9" ht="15">
      <c r="A60" s="477"/>
      <c r="B60" s="478"/>
      <c r="C60" s="1005"/>
      <c r="D60" s="1008"/>
      <c r="E60" s="1005"/>
      <c r="F60" s="478"/>
      <c r="G60" s="478"/>
      <c r="H60" s="479"/>
      <c r="I60" s="478"/>
    </row>
    <row r="61" spans="3:5" ht="18.75" customHeight="1" thickBot="1">
      <c r="C61" s="1006"/>
      <c r="D61" s="1009"/>
      <c r="E61" s="1006"/>
    </row>
    <row r="62" spans="2:6" ht="15.75" thickBot="1">
      <c r="B62" s="480">
        <v>40999</v>
      </c>
      <c r="C62" s="737">
        <f>H46-H48-H49</f>
        <v>247971.88000000003</v>
      </c>
      <c r="D62" s="427">
        <f>H57</f>
        <v>34080.53338320961</v>
      </c>
      <c r="E62" s="481">
        <f>(D62-C62)/C62</f>
        <v>-0.8625629108300118</v>
      </c>
      <c r="F62" s="476"/>
    </row>
    <row r="63" ht="15.75" thickBot="1"/>
    <row r="64" spans="1:16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247971.88000000003</v>
      </c>
      <c r="I64" s="721"/>
      <c r="N64" s="757">
        <f>+E41+G41</f>
        <v>1267153.1</v>
      </c>
      <c r="O64" s="747">
        <f>874900.07+141692.71</f>
        <v>1016592.7799999999</v>
      </c>
      <c r="P64" s="747">
        <f>212831.12+37793.53</f>
        <v>250624.65</v>
      </c>
    </row>
    <row r="65" spans="1:16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146533.56000000003</v>
      </c>
      <c r="I65" s="722"/>
      <c r="N65" s="757">
        <f>1087731.19+179486.24</f>
        <v>1267217.43</v>
      </c>
      <c r="O65" s="747">
        <f>742709.05+25847.52</f>
        <v>768556.5700000001</v>
      </c>
      <c r="P65" s="747">
        <f>314269.44+37793.53</f>
        <v>352062.97</v>
      </c>
    </row>
    <row r="66" spans="14:16" ht="15">
      <c r="N66" s="758">
        <f>+N64-N65</f>
        <v>-64.32999999984168</v>
      </c>
      <c r="O66" s="758">
        <f>+O64-O65</f>
        <v>248036.20999999985</v>
      </c>
      <c r="P66" s="758">
        <f>+P64-P65</f>
        <v>-101438.31999999998</v>
      </c>
    </row>
    <row r="67" spans="14:16" ht="15">
      <c r="N67" s="747"/>
      <c r="O67" s="1016">
        <f>SUM(O66:P66)</f>
        <v>146597.88999999987</v>
      </c>
      <c r="P67" s="1016"/>
    </row>
  </sheetData>
  <sheetProtection/>
  <mergeCells count="39">
    <mergeCell ref="A48:G48"/>
    <mergeCell ref="A64:G64"/>
    <mergeCell ref="H36:I36"/>
    <mergeCell ref="O67:P67"/>
    <mergeCell ref="A65:G65"/>
    <mergeCell ref="L48:L49"/>
    <mergeCell ref="A53:I54"/>
    <mergeCell ref="A55:A56"/>
    <mergeCell ref="C59:C61"/>
    <mergeCell ref="D59:D61"/>
    <mergeCell ref="E59:E61"/>
    <mergeCell ref="A46:G46"/>
    <mergeCell ref="D27:D29"/>
    <mergeCell ref="E27:E29"/>
    <mergeCell ref="A32:G32"/>
    <mergeCell ref="A33:G33"/>
    <mergeCell ref="A35:I35"/>
    <mergeCell ref="A36:A37"/>
    <mergeCell ref="B36:B37"/>
    <mergeCell ref="C36:C37"/>
    <mergeCell ref="D36:E36"/>
    <mergeCell ref="F36:G36"/>
    <mergeCell ref="A3:I3"/>
    <mergeCell ref="A4:A5"/>
    <mergeCell ref="B4:B5"/>
    <mergeCell ref="C4:C5"/>
    <mergeCell ref="D4:E4"/>
    <mergeCell ref="F4:G4"/>
    <mergeCell ref="H4:I4"/>
    <mergeCell ref="L12:L13"/>
    <mergeCell ref="L16:L17"/>
    <mergeCell ref="A44:G44"/>
    <mergeCell ref="L44:L45"/>
    <mergeCell ref="A12:G12"/>
    <mergeCell ref="A14:G14"/>
    <mergeCell ref="A16:G16"/>
    <mergeCell ref="A21:I22"/>
    <mergeCell ref="A23:A24"/>
    <mergeCell ref="C27:C29"/>
  </mergeCells>
  <printOptions/>
  <pageMargins left="0.3" right="0.17" top="0.37" bottom="0.2" header="0" footer="0"/>
  <pageSetup fitToHeight="2" horizontalDpi="600" verticalDpi="600" orientation="landscape" paperSize="5" scale="89" r:id="rId2"/>
  <rowBreaks count="1" manualBreakCount="1">
    <brk id="33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67"/>
  <sheetViews>
    <sheetView zoomScalePageLayoutView="0" workbookViewId="0" topLeftCell="E3">
      <selection activeCell="N12" sqref="N12:N16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57421875" style="0" bestFit="1" customWidth="1"/>
    <col min="6" max="6" width="11.57421875" style="0" bestFit="1" customWidth="1"/>
    <col min="7" max="7" width="16.57421875" style="0" customWidth="1"/>
    <col min="8" max="8" width="14.57421875" style="0" customWidth="1"/>
    <col min="9" max="9" width="12.57421875" style="0" customWidth="1"/>
    <col min="10" max="10" width="16.7109375" style="0" customWidth="1"/>
    <col min="11" max="12" width="16.00390625" style="0" customWidth="1"/>
    <col min="13" max="13" width="13.28125" style="0" bestFit="1" customWidth="1"/>
    <col min="14" max="14" width="17.28125" style="0" customWidth="1"/>
    <col min="15" max="15" width="16.140625" style="0" customWidth="1"/>
    <col min="16" max="16" width="15.8515625" style="0" customWidth="1"/>
  </cols>
  <sheetData>
    <row r="2" ht="15.75" thickBot="1"/>
    <row r="3" spans="1:9" ht="15.75" thickBot="1">
      <c r="A3" s="998" t="s">
        <v>289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+Hoja1!B106</f>
        <v>66830</v>
      </c>
      <c r="C6" s="447">
        <f>+B6*5</f>
        <v>334150</v>
      </c>
      <c r="D6" s="715">
        <f>+Hoja1!L33</f>
        <v>2.71</v>
      </c>
      <c r="E6" s="447">
        <f>B6*D6</f>
        <v>181109.3</v>
      </c>
      <c r="F6" s="688">
        <f>+Hoja1!L34</f>
        <v>0.69</v>
      </c>
      <c r="G6" s="447">
        <f>B6*F6</f>
        <v>46112.7</v>
      </c>
      <c r="H6" s="717">
        <f>+Hoja1!L35</f>
        <v>1.6</v>
      </c>
      <c r="I6" s="447">
        <f>B6*H6</f>
        <v>106928</v>
      </c>
      <c r="J6" s="94"/>
      <c r="M6" s="94">
        <f>+E6+G6+I6</f>
        <v>334150</v>
      </c>
    </row>
    <row r="7" spans="1:13" ht="15">
      <c r="A7" s="466" t="s">
        <v>212</v>
      </c>
      <c r="B7" s="740">
        <f>+Hoja1!J106</f>
        <v>116775</v>
      </c>
      <c r="C7" s="448">
        <f>+B7*5.06</f>
        <v>590881.5</v>
      </c>
      <c r="D7" s="690">
        <f>+Hoja1!M33</f>
        <v>2.77</v>
      </c>
      <c r="E7" s="448">
        <f>B7*D7</f>
        <v>323466.75</v>
      </c>
      <c r="F7" s="690">
        <f>+Hoja1!M34</f>
        <v>0.69</v>
      </c>
      <c r="G7" s="448">
        <f>B7*F7</f>
        <v>80574.75</v>
      </c>
      <c r="H7" s="718">
        <f>+Hoja1!M35</f>
        <v>1.6</v>
      </c>
      <c r="I7" s="448">
        <f>B7*H7</f>
        <v>186840</v>
      </c>
      <c r="M7" s="94">
        <f>+E7+G7+I7</f>
        <v>590881.5</v>
      </c>
    </row>
    <row r="8" spans="1:13" ht="15.75" thickBot="1">
      <c r="A8" s="445" t="s">
        <v>46</v>
      </c>
      <c r="B8" s="741">
        <f>+Hoja1!R106</f>
        <v>18180</v>
      </c>
      <c r="C8" s="468">
        <f>+B8*4.02</f>
        <v>73083.59999999999</v>
      </c>
      <c r="D8" s="689">
        <f>+Hoja1!N33</f>
        <v>2.32</v>
      </c>
      <c r="E8" s="468">
        <f>B8*D8</f>
        <v>42177.6</v>
      </c>
      <c r="F8" s="716">
        <f>+Hoja1!N34</f>
        <v>0.4</v>
      </c>
      <c r="G8" s="468">
        <f>B8*F8</f>
        <v>7272</v>
      </c>
      <c r="H8" s="716">
        <f>+Hoja1!N35</f>
        <v>1.3</v>
      </c>
      <c r="I8" s="468">
        <f>B8*H8</f>
        <v>23634</v>
      </c>
      <c r="M8" s="94">
        <f>+E8+G8+I8</f>
        <v>73083.6</v>
      </c>
    </row>
    <row r="9" spans="1:13" ht="15.75" thickBot="1">
      <c r="A9" s="450" t="s">
        <v>132</v>
      </c>
      <c r="B9" s="742">
        <f>SUM(B6:B8)</f>
        <v>201785</v>
      </c>
      <c r="C9" s="427">
        <f>SUM(C6:C8)</f>
        <v>998115.1</v>
      </c>
      <c r="D9" s="426"/>
      <c r="E9" s="427">
        <f>SUM(E6:E8)</f>
        <v>546753.65</v>
      </c>
      <c r="F9" s="426"/>
      <c r="G9" s="427">
        <f>SUM(G6:G8)</f>
        <v>133959.45</v>
      </c>
      <c r="H9" s="627"/>
      <c r="I9" s="427">
        <f>SUM(I6:I8)</f>
        <v>317402</v>
      </c>
      <c r="M9" s="754">
        <f>SUM(M6:M8)</f>
        <v>998115.1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133959.45</v>
      </c>
      <c r="I12" s="721"/>
      <c r="J12" s="736" t="s">
        <v>321</v>
      </c>
      <c r="K12" s="750">
        <v>108790.4</v>
      </c>
      <c r="L12" s="985">
        <f>SUM(K12:K13)</f>
        <v>133959.44999999998</v>
      </c>
    </row>
    <row r="13" spans="10:12" ht="15.75" thickBot="1">
      <c r="J13" s="736" t="s">
        <v>308</v>
      </c>
      <c r="K13" s="750">
        <v>25169.05</v>
      </c>
      <c r="L13" s="985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546753.65</v>
      </c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744">
        <f>+Hoja1!J67</f>
        <v>475581.74500000005</v>
      </c>
      <c r="J16" s="736" t="s">
        <v>322</v>
      </c>
      <c r="K16" s="750">
        <v>475581.75</v>
      </c>
      <c r="L16" s="985">
        <f>SUM(K16:K17)</f>
        <v>546807.81</v>
      </c>
    </row>
    <row r="17" spans="8:15" ht="15.75" thickBot="1">
      <c r="H17" s="745">
        <f>+Hoja1!O67</f>
        <v>71226.06</v>
      </c>
      <c r="J17" s="736" t="s">
        <v>305</v>
      </c>
      <c r="K17" s="750">
        <v>71226.06</v>
      </c>
      <c r="L17" s="985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26.2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41029</v>
      </c>
      <c r="B25" s="471">
        <f>+Hoja1!X11</f>
        <v>554761.11</v>
      </c>
      <c r="C25" s="471">
        <f>+Hoja1!Y11</f>
        <v>1.1674623818402308</v>
      </c>
      <c r="D25" s="471">
        <f>+B25*C25</f>
        <v>647662.7268329302</v>
      </c>
      <c r="E25" s="471">
        <f>+Hoja1!AA11</f>
        <v>546753.65</v>
      </c>
      <c r="F25" s="752">
        <f>+Hoja1!AB11</f>
        <v>-0.1558049778877587</v>
      </c>
      <c r="G25" s="471">
        <f>+Hoja1!AC11</f>
        <v>546753.65</v>
      </c>
      <c r="H25" s="475">
        <f>+G25-I25</f>
        <v>-54.15500000002794</v>
      </c>
      <c r="I25" s="471">
        <f>+Hoja1!R67</f>
        <v>546807.805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41029</v>
      </c>
      <c r="C30" s="737">
        <f>H14-H16-H17</f>
        <v>-54.15500000002794</v>
      </c>
      <c r="D30" s="743">
        <f>H25-I26</f>
        <v>-54.15500000002794</v>
      </c>
      <c r="E30" s="733">
        <f>(D30-C30)/C30</f>
        <v>0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-54.15500000002794</v>
      </c>
      <c r="I32" s="721"/>
      <c r="J32" s="484"/>
    </row>
    <row r="33" spans="1:12" ht="15.75" thickBot="1">
      <c r="A33" s="1011" t="s">
        <v>213</v>
      </c>
      <c r="B33" s="1012"/>
      <c r="C33" s="1012"/>
      <c r="D33" s="1012"/>
      <c r="E33" s="1012"/>
      <c r="F33" s="1012"/>
      <c r="G33" s="1012"/>
      <c r="H33" s="451">
        <f>H12+H32-K12-K13</f>
        <v>-54.15500000000975</v>
      </c>
      <c r="I33" s="722"/>
      <c r="J33" s="738"/>
      <c r="L33" s="747"/>
    </row>
    <row r="34" ht="15.75" thickBot="1"/>
    <row r="35" spans="1:9" ht="15.75" thickBot="1">
      <c r="A35" s="998" t="s">
        <v>290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+Hoja1!B124</f>
        <v>91875</v>
      </c>
      <c r="C38" s="447">
        <f>+B38*5</f>
        <v>459375</v>
      </c>
      <c r="D38" s="715">
        <f>+Hoja1!L33</f>
        <v>2.71</v>
      </c>
      <c r="E38" s="447">
        <f>B38*D38</f>
        <v>248981.25</v>
      </c>
      <c r="F38" s="688">
        <f>+Hoja1!L34</f>
        <v>0.69</v>
      </c>
      <c r="G38" s="447">
        <f>B38*F38</f>
        <v>63393.74999999999</v>
      </c>
      <c r="H38" s="717">
        <f>+Hoja1!L35</f>
        <v>1.6</v>
      </c>
      <c r="I38" s="447">
        <f>B38*H38</f>
        <v>147000</v>
      </c>
      <c r="M38" s="94">
        <f>+E38+G38+I38</f>
        <v>459375</v>
      </c>
    </row>
    <row r="39" spans="1:13" ht="15">
      <c r="A39" s="466" t="s">
        <v>212</v>
      </c>
      <c r="B39" s="444">
        <f>+Hoja1!J124</f>
        <v>277200</v>
      </c>
      <c r="C39" s="448">
        <f>+B39*5.06</f>
        <v>1402632</v>
      </c>
      <c r="D39" s="690">
        <f>+Hoja1!M33</f>
        <v>2.77</v>
      </c>
      <c r="E39" s="448">
        <f>B39*D39</f>
        <v>767844</v>
      </c>
      <c r="F39" s="690">
        <f>+Hoja1!M34</f>
        <v>0.69</v>
      </c>
      <c r="G39" s="448">
        <f>B39*F39</f>
        <v>191267.99999999997</v>
      </c>
      <c r="H39" s="718">
        <f>+Hoja1!M35</f>
        <v>1.6</v>
      </c>
      <c r="I39" s="448">
        <f>B39*H39</f>
        <v>443520</v>
      </c>
      <c r="M39" s="94">
        <f>+E39+G39+I39</f>
        <v>1402632</v>
      </c>
    </row>
    <row r="40" spans="1:13" ht="15.75" thickBot="1">
      <c r="A40" s="445" t="s">
        <v>46</v>
      </c>
      <c r="B40" s="446">
        <f>+Hoja1!R124</f>
        <v>24300</v>
      </c>
      <c r="C40" s="468">
        <f>+B40*4.02</f>
        <v>97685.99999999999</v>
      </c>
      <c r="D40" s="689">
        <f>+Hoja1!N33</f>
        <v>2.32</v>
      </c>
      <c r="E40" s="468">
        <f>B40*D40</f>
        <v>56375.99999999999</v>
      </c>
      <c r="F40" s="716">
        <f>+Hoja1!N34</f>
        <v>0.4</v>
      </c>
      <c r="G40" s="468">
        <f>B40*F40</f>
        <v>9720</v>
      </c>
      <c r="H40" s="716">
        <f>+Hoja1!N35</f>
        <v>1.3</v>
      </c>
      <c r="I40" s="468">
        <f>B40*H40</f>
        <v>31590</v>
      </c>
      <c r="M40" s="94">
        <f>+E40+G40+I40</f>
        <v>97686</v>
      </c>
    </row>
    <row r="41" spans="1:13" ht="15.75" thickBot="1">
      <c r="A41" s="450" t="s">
        <v>132</v>
      </c>
      <c r="B41" s="467">
        <f>SUM(B38:B40)</f>
        <v>393375</v>
      </c>
      <c r="C41" s="427">
        <f>SUM(C38:C40)</f>
        <v>1959693</v>
      </c>
      <c r="D41" s="426"/>
      <c r="E41" s="427">
        <f>SUM(E38:E40)</f>
        <v>1073201.25</v>
      </c>
      <c r="F41" s="426"/>
      <c r="G41" s="427">
        <f>SUM(G38:G40)</f>
        <v>264381.75</v>
      </c>
      <c r="H41" s="426"/>
      <c r="I41" s="427">
        <f>SUM(I38:I40)</f>
        <v>622110</v>
      </c>
      <c r="M41" s="754">
        <f>SUM(M38:M40)</f>
        <v>1959693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264381.75</v>
      </c>
      <c r="I44" s="721"/>
      <c r="J44" s="736" t="s">
        <v>321</v>
      </c>
      <c r="K44" s="750">
        <v>225883.2</v>
      </c>
      <c r="L44" s="985">
        <f>SUM(K44:K45)</f>
        <v>264381.85000000003</v>
      </c>
    </row>
    <row r="45" spans="10:12" ht="15.75" thickBot="1">
      <c r="J45" s="736" t="s">
        <v>308</v>
      </c>
      <c r="K45" s="750">
        <v>38498.65</v>
      </c>
      <c r="L45" s="985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1073201.25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Hoja1!J50</f>
        <v>921918.7250000001</v>
      </c>
      <c r="J48" s="736" t="s">
        <v>323</v>
      </c>
      <c r="K48" s="750">
        <v>921918.73</v>
      </c>
      <c r="L48" s="985">
        <f>SUM(K48:K49)</f>
        <v>1073327.68</v>
      </c>
    </row>
    <row r="49" spans="8:12" ht="15.75" thickBot="1">
      <c r="H49" s="748">
        <f>+Hoja1!O50</f>
        <v>151408.95</v>
      </c>
      <c r="J49" s="736" t="s">
        <v>305</v>
      </c>
      <c r="K49" s="750">
        <v>151408.95</v>
      </c>
      <c r="L49" s="985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26.2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1" ht="15.75" thickBot="1">
      <c r="A57" s="470">
        <v>41029</v>
      </c>
      <c r="B57" s="471">
        <f>+Hoja1!AI11</f>
        <v>897641.7883333334</v>
      </c>
      <c r="C57" s="471">
        <f>+Hoja1!AJ11</f>
        <v>1.1748834631848637</v>
      </c>
      <c r="D57" s="471">
        <f>+B57*C57</f>
        <v>1054624.4929765211</v>
      </c>
      <c r="E57" s="471">
        <f>+Hoja1!AL11</f>
        <v>1073201.25</v>
      </c>
      <c r="F57" s="752">
        <f>+Hoja1!AM11</f>
        <v>0.01761457006469546</v>
      </c>
      <c r="G57" s="471">
        <f>+Hoja1!AN11</f>
        <v>1054624.4929765211</v>
      </c>
      <c r="H57" s="475">
        <f>+G57-I57</f>
        <v>-18703.182023478905</v>
      </c>
      <c r="I57" s="471">
        <f>+Hoja1!R50</f>
        <v>1073327.675</v>
      </c>
      <c r="K57" s="523"/>
    </row>
    <row r="58" spans="1:11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</row>
    <row r="59" spans="1:11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</row>
    <row r="60" spans="1:9" ht="15">
      <c r="A60" s="477"/>
      <c r="B60" s="478"/>
      <c r="C60" s="1005"/>
      <c r="D60" s="1008"/>
      <c r="E60" s="1005"/>
      <c r="F60" s="478"/>
      <c r="G60" s="478"/>
      <c r="H60" s="479"/>
      <c r="I60" s="478"/>
    </row>
    <row r="61" spans="3:5" ht="18.75" customHeight="1" thickBot="1">
      <c r="C61" s="1006"/>
      <c r="D61" s="1009"/>
      <c r="E61" s="1006"/>
    </row>
    <row r="62" spans="2:16" ht="15.75" thickBot="1">
      <c r="B62" s="480">
        <v>41029</v>
      </c>
      <c r="C62" s="737">
        <f>H46-H48-H49</f>
        <v>-126.42500000010477</v>
      </c>
      <c r="D62" s="427">
        <f>H57</f>
        <v>-18703.182023478905</v>
      </c>
      <c r="E62" s="481">
        <f>(D62-C62)/C62</f>
        <v>146.93895213338664</v>
      </c>
      <c r="F62" s="476"/>
      <c r="M62" s="523"/>
      <c r="N62" s="523"/>
      <c r="O62" s="523"/>
      <c r="P62" s="523"/>
    </row>
    <row r="63" spans="13:16" ht="15.75" thickBot="1">
      <c r="M63" s="523"/>
      <c r="N63" s="523"/>
      <c r="O63" s="523"/>
      <c r="P63" s="523"/>
    </row>
    <row r="64" spans="1:16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-18703.182023478905</v>
      </c>
      <c r="I64" s="721"/>
      <c r="J64" s="484"/>
      <c r="M64" s="523"/>
      <c r="N64" s="757">
        <f>+E41+G41</f>
        <v>1337583</v>
      </c>
      <c r="O64" s="747">
        <f>921918.73+151351.63</f>
        <v>1073270.3599999999</v>
      </c>
      <c r="P64" s="747">
        <f>225883.2+38498.65</f>
        <v>264381.85000000003</v>
      </c>
    </row>
    <row r="65" spans="1:16" ht="15.75" thickBot="1">
      <c r="A65" s="988" t="s">
        <v>213</v>
      </c>
      <c r="B65" s="989"/>
      <c r="C65" s="989"/>
      <c r="D65" s="989"/>
      <c r="E65" s="989"/>
      <c r="F65" s="989"/>
      <c r="G65" s="989"/>
      <c r="H65" s="633">
        <f>H44+H64-K44-K45</f>
        <v>-18703.282023478918</v>
      </c>
      <c r="I65" s="722"/>
      <c r="J65" s="738"/>
      <c r="L65" s="747"/>
      <c r="M65" s="523"/>
      <c r="N65" s="757">
        <f>1147801.93+189850.28</f>
        <v>1337652.21</v>
      </c>
      <c r="O65" s="747">
        <f>921918.73+151408.95</f>
        <v>1073327.68</v>
      </c>
      <c r="P65" s="747">
        <f>225883.2+38498.65</f>
        <v>264381.85000000003</v>
      </c>
    </row>
    <row r="66" spans="13:16" ht="15">
      <c r="M66" s="523"/>
      <c r="N66" s="758">
        <f>+N64-N65</f>
        <v>-69.20999999996275</v>
      </c>
      <c r="O66" s="758">
        <f>+O64-O65</f>
        <v>-57.32000000006519</v>
      </c>
      <c r="P66" s="758">
        <f>+P64-P65</f>
        <v>0</v>
      </c>
    </row>
    <row r="67" spans="14:16" ht="15">
      <c r="N67" s="747"/>
      <c r="O67" s="1016">
        <f>SUM(O66:P66)</f>
        <v>-57.32000000006519</v>
      </c>
      <c r="P67" s="1016"/>
    </row>
  </sheetData>
  <sheetProtection/>
  <mergeCells count="39">
    <mergeCell ref="O67:P67"/>
    <mergeCell ref="L48:L49"/>
    <mergeCell ref="A53:I54"/>
    <mergeCell ref="A55:A56"/>
    <mergeCell ref="C59:C61"/>
    <mergeCell ref="D59:D61"/>
    <mergeCell ref="E59:E61"/>
    <mergeCell ref="A64:G64"/>
    <mergeCell ref="A65:G65"/>
    <mergeCell ref="A46:G46"/>
    <mergeCell ref="A48:G48"/>
    <mergeCell ref="A32:G32"/>
    <mergeCell ref="A33:G33"/>
    <mergeCell ref="A35:I35"/>
    <mergeCell ref="A36:A37"/>
    <mergeCell ref="A44:G44"/>
    <mergeCell ref="L44:L45"/>
    <mergeCell ref="H36:I36"/>
    <mergeCell ref="A23:A24"/>
    <mergeCell ref="C27:C29"/>
    <mergeCell ref="D27:D29"/>
    <mergeCell ref="E27:E29"/>
    <mergeCell ref="B36:B37"/>
    <mergeCell ref="C36:C37"/>
    <mergeCell ref="D36:E36"/>
    <mergeCell ref="F36:G36"/>
    <mergeCell ref="L12:L13"/>
    <mergeCell ref="L16:L17"/>
    <mergeCell ref="A12:G12"/>
    <mergeCell ref="A14:G14"/>
    <mergeCell ref="A16:G16"/>
    <mergeCell ref="A21:I22"/>
    <mergeCell ref="A3:I3"/>
    <mergeCell ref="A4:A5"/>
    <mergeCell ref="B4:B5"/>
    <mergeCell ref="C4:C5"/>
    <mergeCell ref="D4:E4"/>
    <mergeCell ref="F4:G4"/>
    <mergeCell ref="H4:I4"/>
  </mergeCells>
  <printOptions/>
  <pageMargins left="0.75" right="0.75" top="0.66" bottom="0.17" header="0" footer="0"/>
  <pageSetup horizontalDpi="600" verticalDpi="600" orientation="landscape" paperSize="5" scale="81" r:id="rId2"/>
  <rowBreaks count="1" manualBreakCount="1">
    <brk id="33" max="255" man="1"/>
  </rowBreaks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A18">
      <selection activeCell="E25" sqref="E25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7109375" style="0" bestFit="1" customWidth="1"/>
    <col min="6" max="6" width="11.7109375" style="0" bestFit="1" customWidth="1"/>
    <col min="7" max="7" width="16.57421875" style="0" customWidth="1"/>
    <col min="8" max="8" width="14.57421875" style="0" customWidth="1"/>
    <col min="9" max="9" width="12.57421875" style="0" customWidth="1"/>
    <col min="10" max="10" width="16.7109375" style="0" customWidth="1"/>
    <col min="11" max="11" width="16.00390625" style="0" customWidth="1"/>
    <col min="12" max="12" width="15.421875" style="0" customWidth="1"/>
    <col min="13" max="13" width="13.28125" style="0" bestFit="1" customWidth="1"/>
    <col min="14" max="14" width="15.7109375" style="0" customWidth="1"/>
    <col min="15" max="15" width="15.140625" style="0" customWidth="1"/>
    <col min="16" max="16" width="14.00390625" style="0" bestFit="1" customWidth="1"/>
  </cols>
  <sheetData>
    <row r="2" ht="15.75" thickBot="1"/>
    <row r="3" spans="1:9" ht="15.75" thickBot="1">
      <c r="A3" s="998" t="s">
        <v>326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+Hoja1!B107</f>
        <v>126360</v>
      </c>
      <c r="C6" s="447">
        <f>+B6*5</f>
        <v>631800</v>
      </c>
      <c r="D6" s="715">
        <f>+Hoja1!L33</f>
        <v>2.71</v>
      </c>
      <c r="E6" s="447">
        <f>B6*D6</f>
        <v>342435.6</v>
      </c>
      <c r="F6" s="688">
        <f>+Hoja1!L34</f>
        <v>0.69</v>
      </c>
      <c r="G6" s="447">
        <f>B6*F6</f>
        <v>87188.4</v>
      </c>
      <c r="H6" s="717">
        <f>+Hoja1!L35</f>
        <v>1.6</v>
      </c>
      <c r="I6" s="447">
        <f>B6*H6</f>
        <v>202176</v>
      </c>
      <c r="J6" s="94"/>
      <c r="M6" s="94">
        <f>+E6+G6+I6</f>
        <v>631800</v>
      </c>
    </row>
    <row r="7" spans="1:13" ht="15">
      <c r="A7" s="466" t="s">
        <v>212</v>
      </c>
      <c r="B7" s="740">
        <f>+Hoja1!J107</f>
        <v>238590</v>
      </c>
      <c r="C7" s="448">
        <f>+B7*5.06</f>
        <v>1207265.4</v>
      </c>
      <c r="D7" s="690">
        <f>+Hoja1!M33</f>
        <v>2.77</v>
      </c>
      <c r="E7" s="448">
        <f>B7*D7</f>
        <v>660894.3</v>
      </c>
      <c r="F7" s="690">
        <f>+Hoja1!M34</f>
        <v>0.69</v>
      </c>
      <c r="G7" s="448">
        <f>B7*F7</f>
        <v>164627.09999999998</v>
      </c>
      <c r="H7" s="718">
        <f>+Hoja1!M35</f>
        <v>1.6</v>
      </c>
      <c r="I7" s="448">
        <f>B7*H7</f>
        <v>381744</v>
      </c>
      <c r="M7" s="94">
        <f>+E7+G7+I7</f>
        <v>1207265.4</v>
      </c>
    </row>
    <row r="8" spans="1:13" ht="15.75" thickBot="1">
      <c r="A8" s="445" t="s">
        <v>46</v>
      </c>
      <c r="B8" s="741">
        <f>+Hoja1!R107</f>
        <v>39240</v>
      </c>
      <c r="C8" s="468">
        <f>+B8*4.02</f>
        <v>157744.8</v>
      </c>
      <c r="D8" s="689">
        <f>+Hoja1!N33</f>
        <v>2.32</v>
      </c>
      <c r="E8" s="468">
        <f>B8*D8</f>
        <v>91036.79999999999</v>
      </c>
      <c r="F8" s="716">
        <f>+Hoja1!N34</f>
        <v>0.4</v>
      </c>
      <c r="G8" s="468">
        <f>B8*F8</f>
        <v>15696</v>
      </c>
      <c r="H8" s="716">
        <f>+Hoja1!N35</f>
        <v>1.3</v>
      </c>
      <c r="I8" s="468">
        <f>B8*H8</f>
        <v>51012</v>
      </c>
      <c r="M8" s="94">
        <f>+E8+G8+I8</f>
        <v>157744.8</v>
      </c>
    </row>
    <row r="9" spans="1:13" ht="15.75" thickBot="1">
      <c r="A9" s="450" t="s">
        <v>132</v>
      </c>
      <c r="B9" s="742">
        <f>SUM(B6:B8)</f>
        <v>404190</v>
      </c>
      <c r="C9" s="427">
        <f>SUM(C6:C8)</f>
        <v>1996810.2</v>
      </c>
      <c r="D9" s="426"/>
      <c r="E9" s="427">
        <f>SUM(E6:E8)</f>
        <v>1094366.7</v>
      </c>
      <c r="F9" s="426"/>
      <c r="G9" s="427">
        <f>SUM(G6:G8)</f>
        <v>267511.5</v>
      </c>
      <c r="H9" s="627"/>
      <c r="I9" s="427">
        <f>SUM(I6:I8)</f>
        <v>634932</v>
      </c>
      <c r="M9" s="754">
        <f>SUM(M6:M8)</f>
        <v>1996810.2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267511.5</v>
      </c>
      <c r="I12" s="721"/>
      <c r="J12" s="736" t="s">
        <v>325</v>
      </c>
      <c r="K12" s="750">
        <v>218831.04</v>
      </c>
      <c r="L12" s="985">
        <f>SUM(K12:K13)</f>
        <v>267511.5</v>
      </c>
    </row>
    <row r="13" spans="10:12" ht="15.75" thickBot="1">
      <c r="J13" s="736" t="s">
        <v>308</v>
      </c>
      <c r="K13" s="750">
        <v>48680.46</v>
      </c>
      <c r="L13" s="985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1094366.7</v>
      </c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744">
        <f>+Hoja1!J68</f>
        <v>709691.2906828617</v>
      </c>
      <c r="J16" s="736" t="s">
        <v>327</v>
      </c>
      <c r="K16" s="750">
        <v>709691.29</v>
      </c>
      <c r="L16" s="985">
        <f>SUM(K16:K17)</f>
        <v>793130.5800000001</v>
      </c>
    </row>
    <row r="17" spans="8:15" ht="15.75" thickBot="1">
      <c r="H17" s="745">
        <f>+Hoja1!O68</f>
        <v>83439.29</v>
      </c>
      <c r="J17" s="736" t="s">
        <v>305</v>
      </c>
      <c r="K17" s="750">
        <v>83439.29</v>
      </c>
      <c r="L17" s="985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26.2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41060</v>
      </c>
      <c r="B25" s="471">
        <f>+Hoja1!X12</f>
        <v>675207.69</v>
      </c>
      <c r="C25" s="471">
        <f>+Hoja1!Y12</f>
        <v>1.1747958722620673</v>
      </c>
      <c r="D25" s="471">
        <f>+B25*C25</f>
        <v>793231.2071316055</v>
      </c>
      <c r="E25" s="471">
        <f>+Hoja1!AA12</f>
        <v>1094366.7</v>
      </c>
      <c r="F25" s="752">
        <f>+Hoja1!AB12</f>
        <v>0.37963142418126383</v>
      </c>
      <c r="G25" s="471">
        <f>+Hoja1!AC12</f>
        <v>793231.2071316055</v>
      </c>
      <c r="H25" s="475">
        <f>+G25-I25</f>
        <v>100.62644874374382</v>
      </c>
      <c r="I25" s="471">
        <f>+Hoja1!R68</f>
        <v>793130.5806828617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14" ht="15.75" thickBot="1">
      <c r="B30" s="480">
        <v>41060</v>
      </c>
      <c r="C30" s="737">
        <f>H14-H16-H17</f>
        <v>301236.1193171383</v>
      </c>
      <c r="D30" s="743">
        <f>H25-I26</f>
        <v>100.62644874374382</v>
      </c>
      <c r="E30" s="733">
        <f>(D30-C30)/C30</f>
        <v>-0.9996659549028455</v>
      </c>
      <c r="F30" s="476"/>
      <c r="N30">
        <f>239882.42+61253.07</f>
        <v>301135.49</v>
      </c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301236.1193171383</v>
      </c>
      <c r="I32" s="721"/>
      <c r="J32" s="484"/>
    </row>
    <row r="33" spans="1:12" ht="15.75" thickBot="1">
      <c r="A33" s="1011" t="s">
        <v>213</v>
      </c>
      <c r="B33" s="1012"/>
      <c r="C33" s="1012"/>
      <c r="D33" s="1012"/>
      <c r="E33" s="1012"/>
      <c r="F33" s="1012"/>
      <c r="G33" s="1012"/>
      <c r="H33" s="755">
        <f>H12+H32-K12-K13</f>
        <v>301236.1193171383</v>
      </c>
      <c r="I33" s="722"/>
      <c r="J33" s="738"/>
      <c r="L33" s="747"/>
    </row>
    <row r="34" ht="15.75" thickBot="1"/>
    <row r="35" spans="1:9" ht="15.75" thickBot="1">
      <c r="A35" s="998" t="s">
        <v>324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+Hoja1!B125</f>
        <v>183825</v>
      </c>
      <c r="C38" s="447">
        <f>+B38*5</f>
        <v>919125</v>
      </c>
      <c r="D38" s="715">
        <f>+Hoja1!L33</f>
        <v>2.71</v>
      </c>
      <c r="E38" s="447">
        <f>B38*D38</f>
        <v>498165.75</v>
      </c>
      <c r="F38" s="688">
        <f>+Hoja1!L34</f>
        <v>0.69</v>
      </c>
      <c r="G38" s="447">
        <f>B38*F38</f>
        <v>126839.24999999999</v>
      </c>
      <c r="H38" s="717">
        <f>+Hoja1!L35</f>
        <v>1.6</v>
      </c>
      <c r="I38" s="447">
        <f>B38*H38</f>
        <v>294120</v>
      </c>
      <c r="M38" s="94">
        <f>+E38+G38+I38</f>
        <v>919125</v>
      </c>
    </row>
    <row r="39" spans="1:13" ht="15">
      <c r="A39" s="466" t="s">
        <v>212</v>
      </c>
      <c r="B39" s="444">
        <f>+Hoja1!J125</f>
        <v>457200</v>
      </c>
      <c r="C39" s="448">
        <f>+B39*5.06</f>
        <v>2313432</v>
      </c>
      <c r="D39" s="690">
        <f>+Hoja1!M33</f>
        <v>2.77</v>
      </c>
      <c r="E39" s="448">
        <f>B39*D39</f>
        <v>1266444</v>
      </c>
      <c r="F39" s="690">
        <f>+Hoja1!M34</f>
        <v>0.69</v>
      </c>
      <c r="G39" s="448">
        <f>B39*F39</f>
        <v>315468</v>
      </c>
      <c r="H39" s="718">
        <f>+Hoja1!M35</f>
        <v>1.6</v>
      </c>
      <c r="I39" s="448">
        <f>B39*H39</f>
        <v>731520</v>
      </c>
      <c r="M39" s="94">
        <f>+E39+G39+I39</f>
        <v>2313432</v>
      </c>
    </row>
    <row r="40" spans="1:13" ht="15.75" thickBot="1">
      <c r="A40" s="445" t="s">
        <v>46</v>
      </c>
      <c r="B40" s="446">
        <f>+Hoja1!R125</f>
        <v>45900</v>
      </c>
      <c r="C40" s="468">
        <f>+B40*4.02</f>
        <v>184517.99999999997</v>
      </c>
      <c r="D40" s="689">
        <f>+Hoja1!N33</f>
        <v>2.32</v>
      </c>
      <c r="E40" s="468">
        <f>B40*D40</f>
        <v>106487.99999999999</v>
      </c>
      <c r="F40" s="716">
        <f>+Hoja1!N34</f>
        <v>0.4</v>
      </c>
      <c r="G40" s="468">
        <f>B40*F40</f>
        <v>18360</v>
      </c>
      <c r="H40" s="716">
        <f>+Hoja1!N35</f>
        <v>1.3</v>
      </c>
      <c r="I40" s="468">
        <f>B40*H40</f>
        <v>59670</v>
      </c>
      <c r="M40" s="94">
        <f>+E40+G40+I40</f>
        <v>184518</v>
      </c>
    </row>
    <row r="41" spans="1:13" ht="15.75" thickBot="1">
      <c r="A41" s="450" t="s">
        <v>132</v>
      </c>
      <c r="B41" s="467">
        <f>SUM(B38:B40)</f>
        <v>686925</v>
      </c>
      <c r="C41" s="427">
        <f>SUM(C38:C40)</f>
        <v>3417075</v>
      </c>
      <c r="D41" s="426"/>
      <c r="E41" s="427">
        <f>SUM(E38:E40)</f>
        <v>1871097.75</v>
      </c>
      <c r="F41" s="426"/>
      <c r="G41" s="427">
        <f>SUM(G38:G40)</f>
        <v>460667.25</v>
      </c>
      <c r="H41" s="426"/>
      <c r="I41" s="427">
        <f>SUM(I38:I40)</f>
        <v>1085310</v>
      </c>
      <c r="M41" s="754">
        <f>SUM(M38:M40)</f>
        <v>3417075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460667.25</v>
      </c>
      <c r="I44" s="721"/>
      <c r="J44" s="736" t="s">
        <v>325</v>
      </c>
      <c r="K44" s="750">
        <v>387223.2</v>
      </c>
      <c r="L44" s="985">
        <f>SUM(K44:K45)</f>
        <v>460667.25</v>
      </c>
    </row>
    <row r="45" spans="10:12" ht="15.75" thickBot="1">
      <c r="J45" s="736" t="s">
        <v>308</v>
      </c>
      <c r="K45" s="750">
        <v>73444.05</v>
      </c>
      <c r="L45" s="985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1871097.75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Hoja1!J51</f>
        <v>1159948.568747491</v>
      </c>
      <c r="J48" s="736" t="s">
        <v>328</v>
      </c>
      <c r="K48" s="750">
        <v>1159948.57</v>
      </c>
      <c r="L48" s="985">
        <f>SUM(K48:K49)</f>
        <v>1295903.96</v>
      </c>
    </row>
    <row r="49" spans="8:12" ht="15.75" thickBot="1">
      <c r="H49" s="748">
        <f>+Hoja1!O51</f>
        <v>135955.39</v>
      </c>
      <c r="J49" s="736" t="s">
        <v>305</v>
      </c>
      <c r="K49" s="750">
        <v>135955.39</v>
      </c>
      <c r="L49" s="985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26.2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6" ht="15.75" thickBot="1">
      <c r="A57" s="470">
        <v>41060</v>
      </c>
      <c r="B57" s="471">
        <f>+Hoja1!AI12</f>
        <v>1099291.365</v>
      </c>
      <c r="C57" s="471">
        <f>+Hoja1!AJ12</f>
        <v>1.1788814491757302</v>
      </c>
      <c r="D57" s="471">
        <f>+B57*C57</f>
        <v>1295934.1974375667</v>
      </c>
      <c r="E57" s="471">
        <f>+Hoja1!AL12</f>
        <v>1871097.75</v>
      </c>
      <c r="F57" s="752">
        <f>+Hoja1!AM12</f>
        <v>0.4438215718820419</v>
      </c>
      <c r="G57" s="471">
        <f>+Hoja1!AN12</f>
        <v>1295934.1974375667</v>
      </c>
      <c r="H57" s="475">
        <f>+G57-I57</f>
        <v>30.238690075464547</v>
      </c>
      <c r="I57" s="471">
        <f>+Hoja1!R51</f>
        <v>1295903.9587474912</v>
      </c>
      <c r="K57" s="523"/>
      <c r="M57" s="523"/>
      <c r="N57" s="757">
        <f>+E41+G41</f>
        <v>2331765</v>
      </c>
      <c r="O57" s="747">
        <f>1614453.6+256759.5</f>
        <v>1871213.1</v>
      </c>
      <c r="P57" s="747">
        <f>387223.2+73444.05</f>
        <v>460667.25</v>
      </c>
    </row>
    <row r="58" spans="1:16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  <c r="M58" s="523"/>
      <c r="N58" s="757">
        <f>2001676.8+330203.55</f>
        <v>2331880.35</v>
      </c>
      <c r="O58" s="747">
        <f>1159948.57+135955.39</f>
        <v>1295903.96</v>
      </c>
      <c r="P58" s="747">
        <f>387223.2+73444.05</f>
        <v>460667.25</v>
      </c>
    </row>
    <row r="59" spans="1:16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  <c r="M59" s="523"/>
      <c r="N59" s="758">
        <f>+N57-N58</f>
        <v>-115.35000000009313</v>
      </c>
      <c r="O59" s="758">
        <f>+O57-O58</f>
        <v>575309.1400000001</v>
      </c>
      <c r="P59" s="758">
        <f>+P57-P58</f>
        <v>0</v>
      </c>
    </row>
    <row r="60" spans="1:16" ht="15">
      <c r="A60" s="477"/>
      <c r="B60" s="478"/>
      <c r="C60" s="1005"/>
      <c r="D60" s="1008"/>
      <c r="E60" s="1005"/>
      <c r="F60" s="478"/>
      <c r="G60" s="478"/>
      <c r="H60" s="479"/>
      <c r="I60" s="478"/>
      <c r="N60" s="747"/>
      <c r="O60" s="1016">
        <f>SUM(O59:P59)</f>
        <v>575309.1400000001</v>
      </c>
      <c r="P60" s="1016"/>
    </row>
    <row r="61" spans="3:5" ht="18.75" customHeight="1" thickBot="1">
      <c r="C61" s="1006"/>
      <c r="D61" s="1009"/>
      <c r="E61" s="1006"/>
    </row>
    <row r="62" spans="2:16" ht="15.75" thickBot="1">
      <c r="B62" s="480">
        <v>41060</v>
      </c>
      <c r="C62" s="737">
        <f>H46-H48-H49</f>
        <v>575193.7912525089</v>
      </c>
      <c r="D62" s="427">
        <f>H57</f>
        <v>30.238690075464547</v>
      </c>
      <c r="E62" s="481">
        <f>(D62-C62)/C62</f>
        <v>-0.9999474286917986</v>
      </c>
      <c r="F62" s="476"/>
      <c r="M62" s="523"/>
      <c r="N62" s="523"/>
      <c r="O62" s="523"/>
      <c r="P62" s="523"/>
    </row>
    <row r="63" spans="13:16" ht="15.75" thickBot="1">
      <c r="M63" s="523"/>
      <c r="N63" s="523"/>
      <c r="O63" s="523"/>
      <c r="P63" s="523"/>
    </row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575193.7912525089</v>
      </c>
      <c r="I64" s="721"/>
      <c r="J64" s="484"/>
    </row>
    <row r="65" spans="1:12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575193.7912525088</v>
      </c>
      <c r="I65" s="722"/>
      <c r="J65" s="738"/>
      <c r="L65" s="747"/>
    </row>
  </sheetData>
  <sheetProtection/>
  <mergeCells count="39">
    <mergeCell ref="A33:G33"/>
    <mergeCell ref="L12:L13"/>
    <mergeCell ref="L16:L17"/>
    <mergeCell ref="A44:G44"/>
    <mergeCell ref="L44:L45"/>
    <mergeCell ref="D27:D29"/>
    <mergeCell ref="E27:E29"/>
    <mergeCell ref="B36:B37"/>
    <mergeCell ref="A12:G12"/>
    <mergeCell ref="A14:G14"/>
    <mergeCell ref="H36:I36"/>
    <mergeCell ref="A23:A24"/>
    <mergeCell ref="C27:C29"/>
    <mergeCell ref="A65:G65"/>
    <mergeCell ref="O60:P60"/>
    <mergeCell ref="A46:G46"/>
    <mergeCell ref="A48:G48"/>
    <mergeCell ref="L48:L49"/>
    <mergeCell ref="A53:I54"/>
    <mergeCell ref="A32:G32"/>
    <mergeCell ref="A55:A56"/>
    <mergeCell ref="A64:G64"/>
    <mergeCell ref="C59:C61"/>
    <mergeCell ref="D59:D61"/>
    <mergeCell ref="E59:E61"/>
    <mergeCell ref="A35:I35"/>
    <mergeCell ref="A36:A37"/>
    <mergeCell ref="C36:C37"/>
    <mergeCell ref="D36:E36"/>
    <mergeCell ref="F36:G36"/>
    <mergeCell ref="A21:I22"/>
    <mergeCell ref="A3:I3"/>
    <mergeCell ref="A4:A5"/>
    <mergeCell ref="B4:B5"/>
    <mergeCell ref="C4:C5"/>
    <mergeCell ref="D4:E4"/>
    <mergeCell ref="F4:G4"/>
    <mergeCell ref="H4:I4"/>
    <mergeCell ref="A16:G16"/>
  </mergeCells>
  <printOptions/>
  <pageMargins left="0.56" right="0.19" top="0.5" bottom="0.22" header="0" footer="0"/>
  <pageSetup horizontalDpi="600" verticalDpi="600" orientation="landscape" paperSize="5" scale="81" r:id="rId2"/>
  <rowBreaks count="1" manualBreakCount="1">
    <brk id="33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E3">
      <selection activeCell="N12" sqref="N12:N16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7109375" style="0" bestFit="1" customWidth="1"/>
    <col min="6" max="6" width="11.7109375" style="0" bestFit="1" customWidth="1"/>
    <col min="7" max="7" width="16.57421875" style="0" customWidth="1"/>
    <col min="8" max="8" width="14.57421875" style="0" customWidth="1"/>
    <col min="9" max="9" width="13.28125" style="0" customWidth="1"/>
    <col min="10" max="10" width="16.7109375" style="0" customWidth="1"/>
    <col min="11" max="11" width="16.00390625" style="0" customWidth="1"/>
    <col min="12" max="12" width="14.28125" style="0" customWidth="1"/>
    <col min="13" max="13" width="13.421875" style="0" bestFit="1" customWidth="1"/>
    <col min="14" max="14" width="15.8515625" style="0" customWidth="1"/>
    <col min="15" max="15" width="15.140625" style="0" customWidth="1"/>
    <col min="16" max="16" width="14.00390625" style="0" bestFit="1" customWidth="1"/>
  </cols>
  <sheetData>
    <row r="2" ht="15.75" thickBot="1"/>
    <row r="3" spans="1:9" ht="15.75" thickBot="1">
      <c r="A3" s="998" t="s">
        <v>329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+Hoja1!B108</f>
        <v>139020</v>
      </c>
      <c r="C6" s="447">
        <f>+B6*5</f>
        <v>695100</v>
      </c>
      <c r="D6" s="715">
        <f>+Hoja1!L33</f>
        <v>2.71</v>
      </c>
      <c r="E6" s="447">
        <f>B6*D6</f>
        <v>376744.2</v>
      </c>
      <c r="F6" s="688">
        <f>+Hoja1!L34</f>
        <v>0.69</v>
      </c>
      <c r="G6" s="447">
        <f>B6*F6</f>
        <v>95923.79999999999</v>
      </c>
      <c r="H6" s="717">
        <f>+Hoja1!L35</f>
        <v>1.6</v>
      </c>
      <c r="I6" s="447">
        <f>B6*H6</f>
        <v>222432</v>
      </c>
      <c r="J6" s="94"/>
      <c r="M6" s="94">
        <f>+E6+G6+I6</f>
        <v>695100</v>
      </c>
    </row>
    <row r="7" spans="1:13" ht="15">
      <c r="A7" s="466" t="s">
        <v>212</v>
      </c>
      <c r="B7" s="740">
        <f>+Hoja1!J108</f>
        <v>249705</v>
      </c>
      <c r="C7" s="448">
        <f>+B7*5.06</f>
        <v>1263507.2999999998</v>
      </c>
      <c r="D7" s="690">
        <f>+Hoja1!M33</f>
        <v>2.77</v>
      </c>
      <c r="E7" s="448">
        <f>B7*D7</f>
        <v>691682.85</v>
      </c>
      <c r="F7" s="690">
        <f>+Hoja1!M34</f>
        <v>0.69</v>
      </c>
      <c r="G7" s="448">
        <f>B7*F7</f>
        <v>172296.44999999998</v>
      </c>
      <c r="H7" s="718">
        <f>+Hoja1!M35</f>
        <v>1.6</v>
      </c>
      <c r="I7" s="448">
        <f>B7*H7</f>
        <v>399528</v>
      </c>
      <c r="M7" s="94">
        <f>+E7+G7+I7</f>
        <v>1263507.2999999998</v>
      </c>
    </row>
    <row r="8" spans="1:13" ht="15.75" thickBot="1">
      <c r="A8" s="445" t="s">
        <v>46</v>
      </c>
      <c r="B8" s="741">
        <f>+Hoja1!R108</f>
        <v>42120</v>
      </c>
      <c r="C8" s="468">
        <f>+B8*4.02</f>
        <v>169322.4</v>
      </c>
      <c r="D8" s="689">
        <f>+Hoja1!N33</f>
        <v>2.32</v>
      </c>
      <c r="E8" s="468">
        <f>B8*D8</f>
        <v>97718.4</v>
      </c>
      <c r="F8" s="716">
        <f>+Hoja1!N34</f>
        <v>0.4</v>
      </c>
      <c r="G8" s="468">
        <f>B8*F8</f>
        <v>16848</v>
      </c>
      <c r="H8" s="716">
        <f>+Hoja1!N35</f>
        <v>1.3</v>
      </c>
      <c r="I8" s="468">
        <f>B8*H8</f>
        <v>54756</v>
      </c>
      <c r="M8" s="94">
        <f>+E8+G8+I8</f>
        <v>169322.4</v>
      </c>
    </row>
    <row r="9" spans="1:13" ht="15.75" thickBot="1">
      <c r="A9" s="450" t="s">
        <v>132</v>
      </c>
      <c r="B9" s="742">
        <f>SUM(B6:B8)</f>
        <v>430845</v>
      </c>
      <c r="C9" s="427">
        <f>SUM(C6:C8)</f>
        <v>2127929.6999999997</v>
      </c>
      <c r="D9" s="426"/>
      <c r="E9" s="427">
        <f>SUM(E6:E8)</f>
        <v>1166145.45</v>
      </c>
      <c r="F9" s="426"/>
      <c r="G9" s="427">
        <f>SUM(G6:G8)</f>
        <v>285068.25</v>
      </c>
      <c r="H9" s="627"/>
      <c r="I9" s="427">
        <f>SUM(I6:I8)</f>
        <v>676716</v>
      </c>
      <c r="M9" s="754">
        <f>SUM(M6:M8)</f>
        <v>2127929.6999999997</v>
      </c>
    </row>
    <row r="10" ht="15">
      <c r="G10" s="94"/>
    </row>
    <row r="11" ht="15.75" thickBot="1">
      <c r="J11" t="s">
        <v>310</v>
      </c>
    </row>
    <row r="12" spans="1:12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285068.25</v>
      </c>
      <c r="I12" s="721"/>
      <c r="J12" s="736" t="s">
        <v>331</v>
      </c>
      <c r="K12" s="750">
        <v>232050.48</v>
      </c>
      <c r="L12" s="985">
        <f>SUM(K12:K13)</f>
        <v>285068.25</v>
      </c>
    </row>
    <row r="13" spans="10:12" ht="15.75" thickBot="1">
      <c r="J13" s="736" t="s">
        <v>308</v>
      </c>
      <c r="K13" s="750">
        <v>53017.77</v>
      </c>
      <c r="L13" s="985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1166145.45</v>
      </c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744">
        <f>+Hoja1!J69</f>
        <v>805930.7690233368</v>
      </c>
      <c r="J16" s="736" t="s">
        <v>332</v>
      </c>
      <c r="K16" s="750">
        <v>805930.77</v>
      </c>
      <c r="L16" s="985">
        <f>SUM(K16:K17)</f>
        <v>900584.35</v>
      </c>
    </row>
    <row r="17" spans="8:15" ht="15.75" thickBot="1">
      <c r="H17" s="745">
        <f>+Hoja1!O69</f>
        <v>94653.58</v>
      </c>
      <c r="J17" s="736" t="s">
        <v>305</v>
      </c>
      <c r="K17" s="750">
        <v>94653.58</v>
      </c>
      <c r="L17" s="985"/>
      <c r="O17" s="516"/>
    </row>
    <row r="18" ht="15">
      <c r="A18" s="452" t="s">
        <v>210</v>
      </c>
    </row>
    <row r="19" ht="15">
      <c r="A19" t="s">
        <v>209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26.2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41090</v>
      </c>
      <c r="B25" s="471">
        <f>+Hoja1!X13</f>
        <v>768177.4466666667</v>
      </c>
      <c r="C25" s="471">
        <f>+Hoja1!Y13</f>
        <v>1.1723567556586536</v>
      </c>
      <c r="D25" s="471">
        <f>+B25*C25</f>
        <v>900578.0191442817</v>
      </c>
      <c r="E25" s="471">
        <f>+Hoja1!AA13</f>
        <v>1166145.45</v>
      </c>
      <c r="F25" s="752">
        <f>+Hoja1!AB13</f>
        <v>0.29488553485688795</v>
      </c>
      <c r="G25" s="471">
        <f>+Hoja1!AC13</f>
        <v>900578.0191442817</v>
      </c>
      <c r="H25" s="475">
        <f>+G25-I25</f>
        <v>-6.329879055032507</v>
      </c>
      <c r="I25" s="471">
        <f>+Hoja1!R69</f>
        <v>900584.3490233368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41090</v>
      </c>
      <c r="C30" s="737">
        <f>H14-H16-H17</f>
        <v>265561.1009766631</v>
      </c>
      <c r="D30" s="743">
        <f>H25-I26</f>
        <v>-6.329879055032507</v>
      </c>
      <c r="E30" s="733">
        <f>(D30-C30)/C30</f>
        <v>-1.0000238358668938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265561.1009766631</v>
      </c>
      <c r="I32" s="721"/>
      <c r="J32" s="484"/>
    </row>
    <row r="33" spans="1:14" ht="15.75" thickBot="1">
      <c r="A33" s="1011" t="s">
        <v>213</v>
      </c>
      <c r="B33" s="1012"/>
      <c r="C33" s="1012"/>
      <c r="D33" s="1012"/>
      <c r="E33" s="1012"/>
      <c r="F33" s="1012"/>
      <c r="G33" s="1012"/>
      <c r="H33" s="755">
        <f>H12+H32-K12-K13</f>
        <v>265561.1009766632</v>
      </c>
      <c r="I33" s="722"/>
      <c r="J33" s="738"/>
      <c r="L33" s="747"/>
      <c r="N33" s="747">
        <f>207252.43+58308.72</f>
        <v>265561.15</v>
      </c>
    </row>
    <row r="34" ht="15.75" thickBot="1"/>
    <row r="35" spans="1:9" ht="15.75" thickBot="1">
      <c r="A35" s="998" t="s">
        <v>330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+Hoja1!B126</f>
        <v>169005</v>
      </c>
      <c r="C38" s="447">
        <f>+B38*5</f>
        <v>845025</v>
      </c>
      <c r="D38" s="715">
        <f>+Hoja1!L33</f>
        <v>2.71</v>
      </c>
      <c r="E38" s="447">
        <f>B38*D38</f>
        <v>458003.55</v>
      </c>
      <c r="F38" s="717">
        <f>+Hoja1!L34</f>
        <v>0.69</v>
      </c>
      <c r="G38" s="447">
        <f>B38*F38</f>
        <v>116613.45</v>
      </c>
      <c r="H38" s="717">
        <f>+Hoja1!L35</f>
        <v>1.6</v>
      </c>
      <c r="I38" s="447">
        <f>B38*H38</f>
        <v>270408</v>
      </c>
      <c r="M38" s="94">
        <f>+E38+G38+I38</f>
        <v>845025</v>
      </c>
    </row>
    <row r="39" spans="1:13" ht="15">
      <c r="A39" s="466" t="s">
        <v>212</v>
      </c>
      <c r="B39" s="444">
        <f>+Hoja1!J126</f>
        <v>449865</v>
      </c>
      <c r="C39" s="448">
        <f>+B39*5.06</f>
        <v>2276316.9</v>
      </c>
      <c r="D39" s="690">
        <f>+Hoja1!M33</f>
        <v>2.77</v>
      </c>
      <c r="E39" s="448">
        <f>B39*D39</f>
        <v>1246126.05</v>
      </c>
      <c r="F39" s="718">
        <f>+Hoja1!M34</f>
        <v>0.69</v>
      </c>
      <c r="G39" s="448">
        <f>B39*F39</f>
        <v>310406.85</v>
      </c>
      <c r="H39" s="718">
        <f>+Hoja1!M35</f>
        <v>1.6</v>
      </c>
      <c r="I39" s="448">
        <f>B39*H39</f>
        <v>719784</v>
      </c>
      <c r="M39" s="94">
        <f>+E39+G39+I39</f>
        <v>2276316.9</v>
      </c>
    </row>
    <row r="40" spans="1:13" ht="15.75" thickBot="1">
      <c r="A40" s="445" t="s">
        <v>46</v>
      </c>
      <c r="B40" s="446">
        <f>+Hoja1!R126</f>
        <v>48600</v>
      </c>
      <c r="C40" s="468">
        <f>+B40*4.02</f>
        <v>195371.99999999997</v>
      </c>
      <c r="D40" s="689">
        <f>+Hoja1!N33</f>
        <v>2.32</v>
      </c>
      <c r="E40" s="468">
        <f>B40*D40</f>
        <v>112751.99999999999</v>
      </c>
      <c r="F40" s="716">
        <f>+Hoja1!N34</f>
        <v>0.4</v>
      </c>
      <c r="G40" s="468">
        <f>B40*F40</f>
        <v>19440</v>
      </c>
      <c r="H40" s="716">
        <f>+Hoja1!N35</f>
        <v>1.3</v>
      </c>
      <c r="I40" s="468">
        <f>B40*H40</f>
        <v>63180</v>
      </c>
      <c r="M40" s="94">
        <f>+E40+G40+I40</f>
        <v>195372</v>
      </c>
    </row>
    <row r="41" spans="1:13" ht="15.75" thickBot="1">
      <c r="A41" s="450" t="s">
        <v>132</v>
      </c>
      <c r="B41" s="467">
        <f>SUM(B38:B40)</f>
        <v>667470</v>
      </c>
      <c r="C41" s="427">
        <f>SUM(C38:C40)</f>
        <v>3316713.9</v>
      </c>
      <c r="D41" s="426"/>
      <c r="E41" s="427">
        <f>SUM(E38:E40)</f>
        <v>1816881.6</v>
      </c>
      <c r="F41" s="426"/>
      <c r="G41" s="427">
        <f>SUM(G38:G40)</f>
        <v>446460.3</v>
      </c>
      <c r="H41" s="426"/>
      <c r="I41" s="427">
        <f>SUM(I38:I40)</f>
        <v>1053372</v>
      </c>
      <c r="M41" s="754">
        <f>SUM(M38:M40)</f>
        <v>3316713.9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2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446460.3</v>
      </c>
      <c r="I44" s="721"/>
      <c r="J44" s="736" t="s">
        <v>331</v>
      </c>
      <c r="K44" s="750">
        <v>377293.44</v>
      </c>
      <c r="L44" s="985">
        <f>SUM(K44:K45)</f>
        <v>446460.3</v>
      </c>
    </row>
    <row r="45" spans="10:12" ht="15.75" thickBot="1">
      <c r="J45" s="736" t="s">
        <v>308</v>
      </c>
      <c r="K45" s="750">
        <v>69166.86</v>
      </c>
      <c r="L45" s="985"/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1816881.6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Hoja1!J52</f>
        <v>1334134.3541178794</v>
      </c>
      <c r="J48" s="736" t="s">
        <v>333</v>
      </c>
      <c r="K48" s="750">
        <v>1334134.35</v>
      </c>
      <c r="L48" s="985">
        <f>SUM(K48:K49)</f>
        <v>1491056.96</v>
      </c>
    </row>
    <row r="49" spans="8:12" ht="15.75" thickBot="1">
      <c r="H49" s="748">
        <f>+Hoja1!O52</f>
        <v>156922.61</v>
      </c>
      <c r="J49" s="736" t="s">
        <v>305</v>
      </c>
      <c r="K49" s="750">
        <v>156922.61</v>
      </c>
      <c r="L49" s="985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26.2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6" ht="15.75" thickBot="1">
      <c r="A57" s="470">
        <v>41090</v>
      </c>
      <c r="B57" s="471">
        <f>+Hoja1!AI13</f>
        <v>1266047.015</v>
      </c>
      <c r="C57" s="471">
        <f>+Hoja1!AJ13</f>
        <v>1.1776542282504292</v>
      </c>
      <c r="D57" s="471">
        <f>+B57*C57</f>
        <v>1490965.6203785844</v>
      </c>
      <c r="E57" s="471">
        <f>+Hoja1!AL13</f>
        <v>1816881.6</v>
      </c>
      <c r="F57" s="752">
        <f>+Hoja1!AM13</f>
        <v>0.21859389322381526</v>
      </c>
      <c r="G57" s="471">
        <f>+Hoja1!AN13</f>
        <v>1490965.6203785844</v>
      </c>
      <c r="H57" s="475">
        <f>+G57-I57</f>
        <v>-91.3437392951455</v>
      </c>
      <c r="I57" s="471">
        <f>+Hoja1!R52</f>
        <v>1491056.9641178795</v>
      </c>
      <c r="K57" s="523"/>
      <c r="M57" s="523"/>
      <c r="N57" s="757">
        <f>+E41+G41</f>
        <v>2263341.9</v>
      </c>
      <c r="O57" s="747">
        <f>1564632.89+252362.27</f>
        <v>1816995.16</v>
      </c>
      <c r="P57" s="747">
        <f>377293.44+69166.86</f>
        <v>446460.3</v>
      </c>
    </row>
    <row r="58" spans="1:16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  <c r="M58" s="523"/>
      <c r="N58" s="757">
        <f>1941926.33+252362.27+69166.86</f>
        <v>2263455.46</v>
      </c>
      <c r="O58" s="747">
        <f>1334134.35+156922.61</f>
        <v>1491056.96</v>
      </c>
      <c r="P58" s="747">
        <f>377293.44+69166.86</f>
        <v>446460.3</v>
      </c>
    </row>
    <row r="59" spans="1:16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  <c r="M59" s="523"/>
      <c r="N59" s="758">
        <f>+N57-N58</f>
        <v>-113.56000000005588</v>
      </c>
      <c r="O59" s="758">
        <f>+O57-O58</f>
        <v>325938.19999999995</v>
      </c>
      <c r="P59" s="758">
        <f>+P57-P58</f>
        <v>0</v>
      </c>
    </row>
    <row r="60" spans="1:16" ht="15">
      <c r="A60" s="477"/>
      <c r="B60" s="478"/>
      <c r="C60" s="1005"/>
      <c r="D60" s="1008"/>
      <c r="E60" s="1005"/>
      <c r="F60" s="478"/>
      <c r="G60" s="478"/>
      <c r="H60" s="479"/>
      <c r="I60" s="478"/>
      <c r="N60" s="747"/>
      <c r="O60" s="1016">
        <f>SUM(O59:P59)</f>
        <v>325938.19999999995</v>
      </c>
      <c r="P60" s="1016"/>
    </row>
    <row r="61" spans="3:5" ht="18.75" customHeight="1" thickBot="1">
      <c r="C61" s="1006"/>
      <c r="D61" s="1009"/>
      <c r="E61" s="1006"/>
    </row>
    <row r="62" spans="2:16" ht="15.75" thickBot="1">
      <c r="B62" s="480">
        <v>41090</v>
      </c>
      <c r="C62" s="737">
        <f>H46-H48-H49</f>
        <v>325824.6358821207</v>
      </c>
      <c r="D62" s="427">
        <f>H57</f>
        <v>-91.3437392951455</v>
      </c>
      <c r="E62" s="481">
        <f>(D62-C62)/C62</f>
        <v>-1.0002803463250955</v>
      </c>
      <c r="F62" s="476"/>
      <c r="M62" s="523"/>
      <c r="N62" s="523"/>
      <c r="O62" s="523"/>
      <c r="P62" s="523"/>
    </row>
    <row r="63" spans="13:16" ht="15.75" thickBot="1">
      <c r="M63" s="523"/>
      <c r="N63" s="523"/>
      <c r="O63" s="523"/>
      <c r="P63" s="523"/>
    </row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325824.6358821207</v>
      </c>
      <c r="I64" s="721"/>
      <c r="J64" s="484"/>
    </row>
    <row r="65" spans="1:12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325824.63588212064</v>
      </c>
      <c r="I65" s="722"/>
      <c r="J65" s="738"/>
      <c r="L65" s="747"/>
    </row>
  </sheetData>
  <sheetProtection/>
  <mergeCells count="39">
    <mergeCell ref="A65:G65"/>
    <mergeCell ref="L48:L49"/>
    <mergeCell ref="A53:I54"/>
    <mergeCell ref="A55:A56"/>
    <mergeCell ref="C59:C61"/>
    <mergeCell ref="D59:D61"/>
    <mergeCell ref="E59:E61"/>
    <mergeCell ref="A64:G64"/>
    <mergeCell ref="O60:P60"/>
    <mergeCell ref="A46:G46"/>
    <mergeCell ref="A48:G48"/>
    <mergeCell ref="A32:G32"/>
    <mergeCell ref="A33:G33"/>
    <mergeCell ref="A35:I35"/>
    <mergeCell ref="A36:A37"/>
    <mergeCell ref="A44:G44"/>
    <mergeCell ref="L44:L45"/>
    <mergeCell ref="H36:I36"/>
    <mergeCell ref="A23:A24"/>
    <mergeCell ref="C27:C29"/>
    <mergeCell ref="D27:D29"/>
    <mergeCell ref="E27:E29"/>
    <mergeCell ref="B36:B37"/>
    <mergeCell ref="C36:C37"/>
    <mergeCell ref="D36:E36"/>
    <mergeCell ref="F36:G36"/>
    <mergeCell ref="L12:L13"/>
    <mergeCell ref="L16:L17"/>
    <mergeCell ref="A12:G12"/>
    <mergeCell ref="A14:G14"/>
    <mergeCell ref="A16:G16"/>
    <mergeCell ref="A21:I22"/>
    <mergeCell ref="A3:I3"/>
    <mergeCell ref="A4:A5"/>
    <mergeCell ref="B4:B5"/>
    <mergeCell ref="C4:C5"/>
    <mergeCell ref="D4:E4"/>
    <mergeCell ref="F4:G4"/>
    <mergeCell ref="H4:I4"/>
  </mergeCells>
  <printOptions/>
  <pageMargins left="0.75" right="0.21" top="0.41" bottom="0.35" header="0" footer="0"/>
  <pageSetup horizontalDpi="600" verticalDpi="600" orientation="landscape" paperSize="5" scale="85" r:id="rId2"/>
  <rowBreaks count="1" manualBreakCount="1">
    <brk id="33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E8">
      <selection activeCell="H46" sqref="H46"/>
    </sheetView>
  </sheetViews>
  <sheetFormatPr defaultColWidth="11.421875" defaultRowHeight="15"/>
  <cols>
    <col min="1" max="1" width="18.140625" style="0" customWidth="1"/>
    <col min="2" max="2" width="19.140625" style="0" customWidth="1"/>
    <col min="3" max="3" width="21.7109375" style="0" customWidth="1"/>
    <col min="4" max="4" width="13.140625" style="0" customWidth="1"/>
    <col min="5" max="5" width="17.7109375" style="0" bestFit="1" customWidth="1"/>
    <col min="6" max="6" width="11.7109375" style="0" bestFit="1" customWidth="1"/>
    <col min="7" max="7" width="16.57421875" style="0" customWidth="1"/>
    <col min="8" max="8" width="14.57421875" style="0" customWidth="1"/>
    <col min="9" max="9" width="13.28125" style="0" customWidth="1"/>
    <col min="10" max="10" width="17.8515625" style="0" customWidth="1"/>
    <col min="11" max="11" width="16.00390625" style="0" customWidth="1"/>
    <col min="12" max="12" width="14.28125" style="0" customWidth="1"/>
    <col min="13" max="13" width="13.421875" style="0" bestFit="1" customWidth="1"/>
    <col min="14" max="14" width="15.8515625" style="0" customWidth="1"/>
    <col min="15" max="15" width="15.140625" style="0" customWidth="1"/>
    <col min="16" max="16" width="14.00390625" style="0" bestFit="1" customWidth="1"/>
  </cols>
  <sheetData>
    <row r="2" ht="15.75" thickBot="1"/>
    <row r="3" spans="1:9" ht="15.75" thickBot="1">
      <c r="A3" s="998" t="s">
        <v>334</v>
      </c>
      <c r="B3" s="999"/>
      <c r="C3" s="999"/>
      <c r="D3" s="999"/>
      <c r="E3" s="999"/>
      <c r="F3" s="999"/>
      <c r="G3" s="999"/>
      <c r="H3" s="999"/>
      <c r="I3" s="1000"/>
    </row>
    <row r="4" spans="1:9" ht="15">
      <c r="A4" s="1001" t="s">
        <v>200</v>
      </c>
      <c r="B4" s="1003" t="s">
        <v>205</v>
      </c>
      <c r="C4" s="1003" t="s">
        <v>206</v>
      </c>
      <c r="D4" s="986" t="s">
        <v>201</v>
      </c>
      <c r="E4" s="987"/>
      <c r="F4" s="986" t="s">
        <v>203</v>
      </c>
      <c r="G4" s="987"/>
      <c r="H4" s="986" t="s">
        <v>107</v>
      </c>
      <c r="I4" s="987"/>
    </row>
    <row r="5" spans="1:13" ht="15.75" thickBot="1">
      <c r="A5" s="1002"/>
      <c r="B5" s="1002"/>
      <c r="C5" s="1002"/>
      <c r="D5" s="691" t="s">
        <v>202</v>
      </c>
      <c r="E5" s="449" t="s">
        <v>204</v>
      </c>
      <c r="F5" s="691" t="s">
        <v>202</v>
      </c>
      <c r="G5" s="449" t="s">
        <v>204</v>
      </c>
      <c r="H5" s="691" t="s">
        <v>202</v>
      </c>
      <c r="I5" s="449" t="s">
        <v>204</v>
      </c>
      <c r="M5" s="714" t="s">
        <v>298</v>
      </c>
    </row>
    <row r="6" spans="1:13" ht="15">
      <c r="A6" s="465" t="s">
        <v>211</v>
      </c>
      <c r="B6" s="739">
        <f>+Hoja1!B109</f>
        <v>142560</v>
      </c>
      <c r="C6" s="447">
        <f>+B6*5</f>
        <v>712800</v>
      </c>
      <c r="D6" s="715">
        <f>+Hoja1!L33</f>
        <v>2.71</v>
      </c>
      <c r="E6" s="447">
        <f>B6*D6</f>
        <v>386337.6</v>
      </c>
      <c r="F6" s="688">
        <f>+Hoja1!L34</f>
        <v>0.69</v>
      </c>
      <c r="G6" s="447">
        <f>B6*F6</f>
        <v>98366.4</v>
      </c>
      <c r="H6" s="717">
        <f>+Hoja1!L35</f>
        <v>1.6</v>
      </c>
      <c r="I6" s="447">
        <f>B6*H6</f>
        <v>228096</v>
      </c>
      <c r="J6" s="94"/>
      <c r="M6" s="94">
        <f>+E6+G6+I6</f>
        <v>712800</v>
      </c>
    </row>
    <row r="7" spans="1:13" ht="15">
      <c r="A7" s="466" t="s">
        <v>212</v>
      </c>
      <c r="B7" s="740">
        <f>+Hoja1!J109</f>
        <v>267345</v>
      </c>
      <c r="C7" s="448">
        <f>+B7*5.06</f>
        <v>1352765.7</v>
      </c>
      <c r="D7" s="690">
        <f>+Hoja1!M33</f>
        <v>2.77</v>
      </c>
      <c r="E7" s="448">
        <f>B7*D7</f>
        <v>740545.65</v>
      </c>
      <c r="F7" s="690">
        <f>+Hoja1!M34</f>
        <v>0.69</v>
      </c>
      <c r="G7" s="448">
        <f>B7*F7</f>
        <v>184468.05</v>
      </c>
      <c r="H7" s="718">
        <f>+Hoja1!M35</f>
        <v>1.6</v>
      </c>
      <c r="I7" s="448">
        <f>B7*H7</f>
        <v>427752</v>
      </c>
      <c r="M7" s="94">
        <f>+E7+G7+I7</f>
        <v>1352765.7</v>
      </c>
    </row>
    <row r="8" spans="1:13" ht="15.75" thickBot="1">
      <c r="A8" s="445" t="s">
        <v>46</v>
      </c>
      <c r="B8" s="741">
        <f>+Hoja1!R109</f>
        <v>45000</v>
      </c>
      <c r="C8" s="468">
        <f>+B8*4.02</f>
        <v>180899.99999999997</v>
      </c>
      <c r="D8" s="689">
        <f>+Hoja1!N33</f>
        <v>2.32</v>
      </c>
      <c r="E8" s="468">
        <f>B8*D8</f>
        <v>104400</v>
      </c>
      <c r="F8" s="716">
        <f>+Hoja1!N34</f>
        <v>0.4</v>
      </c>
      <c r="G8" s="468">
        <f>B8*F8</f>
        <v>18000</v>
      </c>
      <c r="H8" s="716">
        <f>+Hoja1!N35</f>
        <v>1.3</v>
      </c>
      <c r="I8" s="468">
        <f>B8*H8</f>
        <v>58500</v>
      </c>
      <c r="M8" s="94">
        <f>+E8+G8+I8</f>
        <v>180900</v>
      </c>
    </row>
    <row r="9" spans="1:13" ht="15.75" thickBot="1">
      <c r="A9" s="450" t="s">
        <v>132</v>
      </c>
      <c r="B9" s="742">
        <f>SUM(B6:B8)</f>
        <v>454905</v>
      </c>
      <c r="C9" s="427">
        <f>SUM(C6:C8)</f>
        <v>2246465.6999999997</v>
      </c>
      <c r="D9" s="426"/>
      <c r="E9" s="427">
        <f>SUM(E6:E8)</f>
        <v>1231283.25</v>
      </c>
      <c r="F9" s="426"/>
      <c r="G9" s="427">
        <f>SUM(G6:G8)</f>
        <v>300834.44999999995</v>
      </c>
      <c r="H9" s="627"/>
      <c r="I9" s="427">
        <f>SUM(I6:I8)</f>
        <v>714348</v>
      </c>
      <c r="M9" s="754">
        <f>SUM(M6:M8)</f>
        <v>2246465.7</v>
      </c>
    </row>
    <row r="10" ht="15">
      <c r="G10" s="94"/>
    </row>
    <row r="11" ht="15.75" thickBot="1">
      <c r="J11" t="s">
        <v>310</v>
      </c>
    </row>
    <row r="12" spans="1:15" ht="15.75" thickBot="1">
      <c r="A12" s="1011" t="s">
        <v>207</v>
      </c>
      <c r="B12" s="1012"/>
      <c r="C12" s="1012"/>
      <c r="D12" s="1012"/>
      <c r="E12" s="1012"/>
      <c r="F12" s="1012"/>
      <c r="G12" s="1012"/>
      <c r="H12" s="451">
        <f>G9</f>
        <v>300834.44999999995</v>
      </c>
      <c r="I12" s="721"/>
      <c r="J12" s="736" t="s">
        <v>335</v>
      </c>
      <c r="K12" s="750">
        <v>538567.42</v>
      </c>
      <c r="L12" s="985">
        <f>SUM(K12:K13)</f>
        <v>593499.55</v>
      </c>
      <c r="O12" s="516"/>
    </row>
    <row r="13" spans="9:15" ht="19.5" thickBot="1">
      <c r="I13" s="762" t="s">
        <v>345</v>
      </c>
      <c r="J13" s="736" t="s">
        <v>337</v>
      </c>
      <c r="K13" s="750">
        <v>54932.13</v>
      </c>
      <c r="L13" s="985"/>
      <c r="O13" s="747"/>
    </row>
    <row r="14" spans="1:12" ht="15.75" thickBot="1">
      <c r="A14" s="1011" t="s">
        <v>216</v>
      </c>
      <c r="B14" s="1012"/>
      <c r="C14" s="1012"/>
      <c r="D14" s="1012"/>
      <c r="E14" s="1012"/>
      <c r="F14" s="1012"/>
      <c r="G14" s="1012"/>
      <c r="H14" s="451">
        <f>E9</f>
        <v>1231283.25</v>
      </c>
      <c r="J14" s="747"/>
      <c r="K14" s="714"/>
      <c r="L14" s="747"/>
    </row>
    <row r="15" spans="11:12" ht="15.75" thickBot="1">
      <c r="K15" s="753"/>
      <c r="L15" s="516"/>
    </row>
    <row r="16" spans="1:12" ht="15.75" thickBot="1">
      <c r="A16" s="1011" t="s">
        <v>217</v>
      </c>
      <c r="B16" s="1012"/>
      <c r="C16" s="1012"/>
      <c r="D16" s="1012"/>
      <c r="E16" s="1012"/>
      <c r="F16" s="1012"/>
      <c r="G16" s="1012"/>
      <c r="H16" s="451">
        <f>+Hoja1!J70</f>
        <v>938618.15</v>
      </c>
      <c r="J16" s="736" t="s">
        <v>336</v>
      </c>
      <c r="K16" s="750">
        <v>938618.15</v>
      </c>
      <c r="L16" s="760"/>
    </row>
    <row r="17" spans="8:15" ht="15">
      <c r="H17" s="756"/>
      <c r="J17" s="736"/>
      <c r="K17" s="750"/>
      <c r="L17" s="760"/>
      <c r="O17" s="516"/>
    </row>
    <row r="18" spans="1:10" ht="18.75">
      <c r="A18" s="452" t="s">
        <v>210</v>
      </c>
      <c r="I18" s="762" t="s">
        <v>345</v>
      </c>
      <c r="J18" t="s">
        <v>343</v>
      </c>
    </row>
    <row r="19" spans="1:12" ht="15">
      <c r="A19" t="s">
        <v>209</v>
      </c>
      <c r="I19" s="761"/>
      <c r="K19" s="761" t="s">
        <v>344</v>
      </c>
      <c r="L19" s="747">
        <v>248618.97</v>
      </c>
    </row>
    <row r="20" ht="15.75" thickBot="1"/>
    <row r="21" spans="1:9" ht="15">
      <c r="A21" s="990" t="s">
        <v>219</v>
      </c>
      <c r="B21" s="991"/>
      <c r="C21" s="991"/>
      <c r="D21" s="991"/>
      <c r="E21" s="991"/>
      <c r="F21" s="991"/>
      <c r="G21" s="991"/>
      <c r="H21" s="991"/>
      <c r="I21" s="992"/>
    </row>
    <row r="22" spans="1:9" ht="15.75" thickBot="1">
      <c r="A22" s="993"/>
      <c r="B22" s="994"/>
      <c r="C22" s="994"/>
      <c r="D22" s="994"/>
      <c r="E22" s="994"/>
      <c r="F22" s="994"/>
      <c r="G22" s="994"/>
      <c r="H22" s="994"/>
      <c r="I22" s="995"/>
    </row>
    <row r="23" spans="1:9" ht="26.25" thickBot="1">
      <c r="A23" s="996" t="s">
        <v>86</v>
      </c>
      <c r="B23" s="472">
        <v>1</v>
      </c>
      <c r="C23" s="249">
        <v>2</v>
      </c>
      <c r="D23" s="249" t="s">
        <v>87</v>
      </c>
      <c r="E23" s="249">
        <v>4</v>
      </c>
      <c r="F23" s="249" t="s">
        <v>88</v>
      </c>
      <c r="G23" s="249">
        <v>6</v>
      </c>
      <c r="H23" s="250">
        <v>7</v>
      </c>
      <c r="I23" s="474"/>
    </row>
    <row r="24" spans="1:9" ht="77.25" thickBot="1">
      <c r="A24" s="997"/>
      <c r="B24" s="425" t="s">
        <v>90</v>
      </c>
      <c r="C24" s="425" t="s">
        <v>91</v>
      </c>
      <c r="D24" s="425" t="s">
        <v>92</v>
      </c>
      <c r="E24" s="425" t="s">
        <v>93</v>
      </c>
      <c r="F24" s="425" t="s">
        <v>94</v>
      </c>
      <c r="G24" s="473" t="s">
        <v>95</v>
      </c>
      <c r="H24" s="473" t="s">
        <v>96</v>
      </c>
      <c r="I24" s="425" t="s">
        <v>133</v>
      </c>
    </row>
    <row r="25" spans="1:9" ht="15.75" thickBot="1">
      <c r="A25" s="470">
        <v>41121</v>
      </c>
      <c r="B25" s="471">
        <f>+Hoja1!X14</f>
        <v>798790.055</v>
      </c>
      <c r="C25" s="471">
        <f>+Hoja1!Y14</f>
        <v>1.1749445893800459</v>
      </c>
      <c r="D25" s="471">
        <f>+B25*C25</f>
        <v>938534.0531728393</v>
      </c>
      <c r="E25" s="471">
        <f>+Hoja1!AA14</f>
        <v>1231283.25</v>
      </c>
      <c r="F25" s="752">
        <f>+Hoja1!AB14</f>
        <v>0.3119217633473</v>
      </c>
      <c r="G25" s="471">
        <f>+Hoja1!AC14</f>
        <v>938534.0531728393</v>
      </c>
      <c r="H25" s="475">
        <f>+G25-I25</f>
        <v>-84.09682716068346</v>
      </c>
      <c r="I25" s="471">
        <f>+Hoja1!R70</f>
        <v>938618.15</v>
      </c>
    </row>
    <row r="26" spans="1:9" ht="15.75" thickBot="1">
      <c r="A26" s="477"/>
      <c r="B26" s="478"/>
      <c r="C26" s="478"/>
      <c r="D26" s="478"/>
      <c r="E26" s="478"/>
      <c r="F26" s="478"/>
      <c r="G26" s="478"/>
      <c r="H26" s="479"/>
      <c r="I26" s="746"/>
    </row>
    <row r="27" spans="1:9" ht="18" customHeight="1">
      <c r="A27" s="477"/>
      <c r="B27" s="478"/>
      <c r="C27" s="1004" t="s">
        <v>218</v>
      </c>
      <c r="D27" s="1007" t="s">
        <v>215</v>
      </c>
      <c r="E27" s="1013" t="s">
        <v>214</v>
      </c>
      <c r="F27" s="478"/>
      <c r="G27" s="478"/>
      <c r="H27" s="479"/>
      <c r="I27" s="478"/>
    </row>
    <row r="28" spans="1:9" ht="18" customHeight="1">
      <c r="A28" s="477"/>
      <c r="B28" s="478"/>
      <c r="C28" s="1005"/>
      <c r="D28" s="1008"/>
      <c r="E28" s="1014"/>
      <c r="F28" s="478"/>
      <c r="G28" s="478"/>
      <c r="H28" s="479"/>
      <c r="I28" s="478"/>
    </row>
    <row r="29" spans="3:5" ht="15.75" thickBot="1">
      <c r="C29" s="1006"/>
      <c r="D29" s="1009"/>
      <c r="E29" s="1015"/>
    </row>
    <row r="30" spans="2:6" ht="15.75" thickBot="1">
      <c r="B30" s="480">
        <v>41121</v>
      </c>
      <c r="C30" s="737">
        <f>H14-H16-H17</f>
        <v>292665.1</v>
      </c>
      <c r="D30" s="743">
        <f>H25-I26</f>
        <v>-84.09682716068346</v>
      </c>
      <c r="E30" s="733">
        <f>(D30-C30)/C30</f>
        <v>-1.0002873483280401</v>
      </c>
      <c r="F30" s="476"/>
    </row>
    <row r="31" ht="15.75" thickBot="1"/>
    <row r="32" spans="1:10" ht="15.75" thickBot="1">
      <c r="A32" s="1011" t="s">
        <v>208</v>
      </c>
      <c r="B32" s="1012"/>
      <c r="C32" s="1012"/>
      <c r="D32" s="1012"/>
      <c r="E32" s="1012"/>
      <c r="F32" s="1012"/>
      <c r="G32" s="1012"/>
      <c r="H32" s="451">
        <f>+IF(C30&lt;=0,D30,C30)</f>
        <v>292665.1</v>
      </c>
      <c r="I32" s="721"/>
      <c r="J32" s="484"/>
    </row>
    <row r="33" spans="1:14" ht="15.75" thickBot="1">
      <c r="A33" s="1011" t="s">
        <v>213</v>
      </c>
      <c r="B33" s="1012"/>
      <c r="C33" s="1012"/>
      <c r="D33" s="1012"/>
      <c r="E33" s="1012"/>
      <c r="F33" s="1012"/>
      <c r="G33" s="1012"/>
      <c r="H33" s="755">
        <f>H12+H32-K12-K13</f>
        <v>-1.0913936421275139E-10</v>
      </c>
      <c r="I33" s="722"/>
      <c r="J33" s="738"/>
      <c r="L33" s="747"/>
      <c r="N33" s="747">
        <f>207252.43+58308.72</f>
        <v>265561.15</v>
      </c>
    </row>
    <row r="34" ht="15.75" thickBot="1"/>
    <row r="35" spans="1:9" ht="15.75" thickBot="1">
      <c r="A35" s="998" t="s">
        <v>291</v>
      </c>
      <c r="B35" s="999"/>
      <c r="C35" s="999"/>
      <c r="D35" s="999"/>
      <c r="E35" s="999"/>
      <c r="F35" s="999"/>
      <c r="G35" s="999"/>
      <c r="H35" s="999"/>
      <c r="I35" s="1000"/>
    </row>
    <row r="36" spans="1:9" ht="15">
      <c r="A36" s="1001" t="s">
        <v>200</v>
      </c>
      <c r="B36" s="1003" t="s">
        <v>205</v>
      </c>
      <c r="C36" s="1003" t="s">
        <v>206</v>
      </c>
      <c r="D36" s="986" t="s">
        <v>201</v>
      </c>
      <c r="E36" s="987"/>
      <c r="F36" s="986" t="s">
        <v>203</v>
      </c>
      <c r="G36" s="987"/>
      <c r="H36" s="986" t="s">
        <v>107</v>
      </c>
      <c r="I36" s="987"/>
    </row>
    <row r="37" spans="1:13" ht="15.75" thickBot="1">
      <c r="A37" s="1002"/>
      <c r="B37" s="1002"/>
      <c r="C37" s="1002"/>
      <c r="D37" s="691" t="s">
        <v>202</v>
      </c>
      <c r="E37" s="628" t="s">
        <v>204</v>
      </c>
      <c r="F37" s="691" t="s">
        <v>202</v>
      </c>
      <c r="G37" s="628" t="s">
        <v>204</v>
      </c>
      <c r="H37" s="691" t="s">
        <v>202</v>
      </c>
      <c r="I37" s="628" t="s">
        <v>204</v>
      </c>
      <c r="M37" s="714" t="s">
        <v>298</v>
      </c>
    </row>
    <row r="38" spans="1:13" ht="15">
      <c r="A38" s="465" t="s">
        <v>211</v>
      </c>
      <c r="B38" s="443">
        <f>+Hoja1!B127</f>
        <v>137555</v>
      </c>
      <c r="C38" s="447">
        <f>+B38*5</f>
        <v>687775</v>
      </c>
      <c r="D38" s="715">
        <f>+Hoja1!L33</f>
        <v>2.71</v>
      </c>
      <c r="E38" s="447">
        <f>B38*D38</f>
        <v>372774.05</v>
      </c>
      <c r="F38" s="717">
        <f>+Hoja1!L34</f>
        <v>0.69</v>
      </c>
      <c r="G38" s="447">
        <f>B38*F38</f>
        <v>94912.95</v>
      </c>
      <c r="H38" s="717">
        <f>+Hoja1!L35</f>
        <v>1.6</v>
      </c>
      <c r="I38" s="447">
        <f>B38*H38</f>
        <v>220088</v>
      </c>
      <c r="M38" s="94">
        <f>+E38+G38+I38</f>
        <v>687775</v>
      </c>
    </row>
    <row r="39" spans="1:13" ht="15">
      <c r="A39" s="466" t="s">
        <v>212</v>
      </c>
      <c r="B39" s="444">
        <f>+Hoja1!J127</f>
        <v>458865</v>
      </c>
      <c r="C39" s="448">
        <f>+B39*5.06</f>
        <v>2321856.9</v>
      </c>
      <c r="D39" s="690">
        <f>+Hoja1!M33</f>
        <v>2.77</v>
      </c>
      <c r="E39" s="448">
        <f>B39*D39</f>
        <v>1271056.05</v>
      </c>
      <c r="F39" s="718">
        <f>+Hoja1!M34</f>
        <v>0.69</v>
      </c>
      <c r="G39" s="448">
        <f>B39*F39</f>
        <v>316616.85</v>
      </c>
      <c r="H39" s="718">
        <f>+Hoja1!M35</f>
        <v>1.6</v>
      </c>
      <c r="I39" s="448">
        <f>B39*H39</f>
        <v>734184</v>
      </c>
      <c r="M39" s="94">
        <f>+E39+G39+I39</f>
        <v>2321856.9</v>
      </c>
    </row>
    <row r="40" spans="1:13" ht="15.75" thickBot="1">
      <c r="A40" s="445" t="s">
        <v>46</v>
      </c>
      <c r="B40" s="446">
        <f>+Hoja1!R127</f>
        <v>47880</v>
      </c>
      <c r="C40" s="468">
        <f>+B40*4.02</f>
        <v>192477.59999999998</v>
      </c>
      <c r="D40" s="689">
        <f>+Hoja1!N33</f>
        <v>2.32</v>
      </c>
      <c r="E40" s="468">
        <f>B40*D40</f>
        <v>111081.59999999999</v>
      </c>
      <c r="F40" s="716">
        <f>+Hoja1!N34</f>
        <v>0.4</v>
      </c>
      <c r="G40" s="468">
        <f>B40*F40</f>
        <v>19152</v>
      </c>
      <c r="H40" s="716">
        <f>+Hoja1!N35</f>
        <v>1.3</v>
      </c>
      <c r="I40" s="468">
        <f>B40*H40</f>
        <v>62244</v>
      </c>
      <c r="M40" s="94">
        <f>+E40+G40+I40</f>
        <v>192477.59999999998</v>
      </c>
    </row>
    <row r="41" spans="1:13" ht="15.75" thickBot="1">
      <c r="A41" s="450" t="s">
        <v>132</v>
      </c>
      <c r="B41" s="467">
        <f>SUM(B38:B40)</f>
        <v>644300</v>
      </c>
      <c r="C41" s="427">
        <f>SUM(C38:C40)</f>
        <v>3202109.5</v>
      </c>
      <c r="D41" s="426"/>
      <c r="E41" s="427">
        <f>SUM(E38:E40)</f>
        <v>1754911.7000000002</v>
      </c>
      <c r="F41" s="426"/>
      <c r="G41" s="427">
        <f>SUM(G38:G40)</f>
        <v>430681.8</v>
      </c>
      <c r="H41" s="426"/>
      <c r="I41" s="427">
        <f>SUM(I38:I40)</f>
        <v>1016516</v>
      </c>
      <c r="M41" s="754">
        <f>SUM(M38:M40)</f>
        <v>3202109.5</v>
      </c>
    </row>
    <row r="42" spans="1:13" ht="15">
      <c r="A42" s="128"/>
      <c r="B42" s="647"/>
      <c r="C42" s="632"/>
      <c r="D42" s="58"/>
      <c r="E42" s="632"/>
      <c r="F42" s="58"/>
      <c r="G42" s="632"/>
      <c r="H42" s="58"/>
      <c r="I42" s="632"/>
      <c r="M42" s="94"/>
    </row>
    <row r="43" ht="15.75" thickBot="1">
      <c r="J43" t="s">
        <v>310</v>
      </c>
    </row>
    <row r="44" spans="1:14" ht="15.75" thickBot="1">
      <c r="A44" s="988" t="s">
        <v>207</v>
      </c>
      <c r="B44" s="989"/>
      <c r="C44" s="989"/>
      <c r="D44" s="989"/>
      <c r="E44" s="989"/>
      <c r="F44" s="989"/>
      <c r="G44" s="989"/>
      <c r="H44" s="451">
        <f>G41</f>
        <v>430681.8</v>
      </c>
      <c r="I44" s="721" t="s">
        <v>371</v>
      </c>
      <c r="J44" s="736" t="s">
        <v>335</v>
      </c>
      <c r="K44" s="750">
        <v>602333.79</v>
      </c>
      <c r="L44" s="985">
        <f>SUM(K44:K45)</f>
        <v>662614.15</v>
      </c>
      <c r="N44" s="516">
        <f>+H44+H64</f>
        <v>662637.1900000002</v>
      </c>
    </row>
    <row r="45" spans="10:14" ht="15.75" thickBot="1">
      <c r="J45" s="736" t="s">
        <v>337</v>
      </c>
      <c r="K45" s="750">
        <v>60280.36</v>
      </c>
      <c r="L45" s="985"/>
      <c r="N45" s="516">
        <f>+H44-370401.44</f>
        <v>60280.359999999986</v>
      </c>
    </row>
    <row r="46" spans="1:11" ht="15.75" thickBot="1">
      <c r="A46" s="988" t="s">
        <v>220</v>
      </c>
      <c r="B46" s="989"/>
      <c r="C46" s="989"/>
      <c r="D46" s="989"/>
      <c r="E46" s="989"/>
      <c r="F46" s="989"/>
      <c r="G46" s="989"/>
      <c r="H46" s="451">
        <f>E41</f>
        <v>1754911.7000000002</v>
      </c>
      <c r="K46" s="714"/>
    </row>
    <row r="47" ht="15.75" thickBot="1">
      <c r="K47" s="714"/>
    </row>
    <row r="48" spans="1:12" ht="15.75" thickBot="1">
      <c r="A48" s="988" t="s">
        <v>221</v>
      </c>
      <c r="B48" s="989"/>
      <c r="C48" s="989"/>
      <c r="D48" s="989"/>
      <c r="E48" s="989"/>
      <c r="F48" s="989"/>
      <c r="G48" s="989"/>
      <c r="H48" s="744">
        <f>Hoja1!J53</f>
        <v>1522956.31</v>
      </c>
      <c r="J48" s="736" t="s">
        <v>338</v>
      </c>
      <c r="K48" s="750">
        <v>1522956.31</v>
      </c>
      <c r="L48" s="760"/>
    </row>
    <row r="49" spans="8:12" ht="15">
      <c r="H49" s="759"/>
      <c r="J49" s="736"/>
      <c r="K49" s="750"/>
      <c r="L49" s="760"/>
    </row>
    <row r="50" ht="15">
      <c r="A50" s="452" t="s">
        <v>210</v>
      </c>
    </row>
    <row r="51" ht="15">
      <c r="A51" t="s">
        <v>209</v>
      </c>
    </row>
    <row r="52" ht="15.75" thickBot="1"/>
    <row r="53" spans="1:9" ht="15">
      <c r="A53" s="990" t="s">
        <v>266</v>
      </c>
      <c r="B53" s="991"/>
      <c r="C53" s="991"/>
      <c r="D53" s="991"/>
      <c r="E53" s="991"/>
      <c r="F53" s="991"/>
      <c r="G53" s="991"/>
      <c r="H53" s="991"/>
      <c r="I53" s="991"/>
    </row>
    <row r="54" spans="1:9" ht="15.75" thickBot="1">
      <c r="A54" s="993"/>
      <c r="B54" s="994"/>
      <c r="C54" s="994"/>
      <c r="D54" s="994"/>
      <c r="E54" s="994"/>
      <c r="F54" s="994"/>
      <c r="G54" s="994"/>
      <c r="H54" s="994"/>
      <c r="I54" s="994"/>
    </row>
    <row r="55" spans="1:9" ht="26.25" thickBot="1">
      <c r="A55" s="996" t="s">
        <v>86</v>
      </c>
      <c r="B55" s="472">
        <v>1</v>
      </c>
      <c r="C55" s="249">
        <v>2</v>
      </c>
      <c r="D55" s="249" t="s">
        <v>87</v>
      </c>
      <c r="E55" s="249">
        <v>4</v>
      </c>
      <c r="F55" s="249" t="s">
        <v>88</v>
      </c>
      <c r="G55" s="249">
        <v>6</v>
      </c>
      <c r="H55" s="250">
        <v>7</v>
      </c>
      <c r="I55" s="474"/>
    </row>
    <row r="56" spans="1:9" ht="77.25" thickBot="1">
      <c r="A56" s="997"/>
      <c r="B56" s="425" t="s">
        <v>90</v>
      </c>
      <c r="C56" s="425" t="s">
        <v>91</v>
      </c>
      <c r="D56" s="425" t="s">
        <v>92</v>
      </c>
      <c r="E56" s="425" t="s">
        <v>93</v>
      </c>
      <c r="F56" s="425" t="s">
        <v>94</v>
      </c>
      <c r="G56" s="473" t="s">
        <v>95</v>
      </c>
      <c r="H56" s="473" t="s">
        <v>96</v>
      </c>
      <c r="I56" s="425" t="s">
        <v>133</v>
      </c>
    </row>
    <row r="57" spans="1:16" ht="15.75" thickBot="1">
      <c r="A57" s="470">
        <v>41121</v>
      </c>
      <c r="B57" s="471">
        <f>+Hoja1!AI14</f>
        <v>1294415.8633333335</v>
      </c>
      <c r="C57" s="471">
        <f>+Hoja1!AJ14</f>
        <v>1.1763906112527096</v>
      </c>
      <c r="D57" s="471">
        <f>+B57*C57</f>
        <v>1522738.668681904</v>
      </c>
      <c r="E57" s="471">
        <f>+Hoja1!AL14</f>
        <v>1754911.7</v>
      </c>
      <c r="F57" s="752">
        <f>+Hoja1!AM14</f>
        <v>0.15247070038555402</v>
      </c>
      <c r="G57" s="471">
        <f>+Hoja1!AN14</f>
        <v>1522738.668681904</v>
      </c>
      <c r="H57" s="475">
        <f>+G57-I57</f>
        <v>-217.6413180960808</v>
      </c>
      <c r="I57" s="471">
        <f>+Hoja1!R53</f>
        <v>1522956.31</v>
      </c>
      <c r="K57" s="523"/>
      <c r="M57" s="523"/>
      <c r="N57" s="757">
        <f>+E41+G41</f>
        <v>2185593.5</v>
      </c>
      <c r="O57" s="747">
        <f>1503399.74+251648.68</f>
        <v>1755048.42</v>
      </c>
      <c r="P57" s="747">
        <f>370378.4+60280.36</f>
        <v>430658.76</v>
      </c>
    </row>
    <row r="58" spans="1:16" ht="15.75" thickBot="1">
      <c r="A58" s="477"/>
      <c r="B58" s="478"/>
      <c r="C58" s="478"/>
      <c r="D58" s="478"/>
      <c r="E58" s="478"/>
      <c r="F58" s="478"/>
      <c r="G58" s="478"/>
      <c r="H58" s="479"/>
      <c r="I58" s="478"/>
      <c r="K58" s="523"/>
      <c r="M58" s="523"/>
      <c r="N58" s="757">
        <f>1873778.14+251648.68+60280.36</f>
        <v>2185707.1799999997</v>
      </c>
      <c r="O58" s="747">
        <v>1522956.31</v>
      </c>
      <c r="P58" s="747">
        <f>370378.4+60280.36</f>
        <v>430658.76</v>
      </c>
    </row>
    <row r="59" spans="1:16" ht="15">
      <c r="A59" s="477"/>
      <c r="B59" s="478"/>
      <c r="C59" s="1004" t="s">
        <v>218</v>
      </c>
      <c r="D59" s="1007" t="s">
        <v>215</v>
      </c>
      <c r="E59" s="1004" t="s">
        <v>214</v>
      </c>
      <c r="F59" s="478"/>
      <c r="G59" s="478"/>
      <c r="H59" s="479"/>
      <c r="I59" s="478"/>
      <c r="K59" s="523"/>
      <c r="M59" s="523"/>
      <c r="N59" s="758">
        <f>+N57-N58</f>
        <v>-113.67999999970198</v>
      </c>
      <c r="O59" s="758">
        <f>+O57-O58</f>
        <v>232092.10999999987</v>
      </c>
      <c r="P59" s="758">
        <f>+P57-P58</f>
        <v>0</v>
      </c>
    </row>
    <row r="60" spans="1:16" ht="15">
      <c r="A60" s="477"/>
      <c r="B60" s="478"/>
      <c r="C60" s="1005"/>
      <c r="D60" s="1008"/>
      <c r="E60" s="1005"/>
      <c r="F60" s="478"/>
      <c r="G60" s="478"/>
      <c r="H60" s="479"/>
      <c r="I60" s="478"/>
      <c r="N60" s="747"/>
      <c r="O60" s="1016">
        <f>SUM(O59:P59)</f>
        <v>232092.10999999987</v>
      </c>
      <c r="P60" s="1016"/>
    </row>
    <row r="61" spans="3:5" ht="18.75" customHeight="1" thickBot="1">
      <c r="C61" s="1006"/>
      <c r="D61" s="1009"/>
      <c r="E61" s="1006"/>
    </row>
    <row r="62" spans="2:16" ht="15.75" thickBot="1">
      <c r="B62" s="480">
        <v>41121</v>
      </c>
      <c r="C62" s="737">
        <f>H46-H48</f>
        <v>231955.39000000013</v>
      </c>
      <c r="D62" s="427">
        <f>H57</f>
        <v>-217.6413180960808</v>
      </c>
      <c r="E62" s="481">
        <f>(D62-C62)/C62</f>
        <v>-1.000938289548245</v>
      </c>
      <c r="F62" s="476"/>
      <c r="M62" s="523"/>
      <c r="N62" s="523"/>
      <c r="O62" s="523">
        <f>662750.87-60280.36-370378.4</f>
        <v>232092.11</v>
      </c>
      <c r="P62" s="523"/>
    </row>
    <row r="63" spans="13:16" ht="15.75" thickBot="1">
      <c r="M63" s="523"/>
      <c r="N63" s="523"/>
      <c r="O63" s="523"/>
      <c r="P63" s="523"/>
    </row>
    <row r="64" spans="1:10" ht="15.75" thickBot="1">
      <c r="A64" s="988" t="s">
        <v>208</v>
      </c>
      <c r="B64" s="989"/>
      <c r="C64" s="989"/>
      <c r="D64" s="989"/>
      <c r="E64" s="989"/>
      <c r="F64" s="989"/>
      <c r="G64" s="989"/>
      <c r="H64" s="451">
        <f>+IF(C62&lt;=0,D62,C62)</f>
        <v>231955.39000000013</v>
      </c>
      <c r="I64" s="721" t="s">
        <v>300</v>
      </c>
      <c r="J64" s="484"/>
    </row>
    <row r="65" spans="1:12" ht="15.75" thickBot="1">
      <c r="A65" s="988" t="s">
        <v>213</v>
      </c>
      <c r="B65" s="989"/>
      <c r="C65" s="989"/>
      <c r="D65" s="989"/>
      <c r="E65" s="989"/>
      <c r="F65" s="989"/>
      <c r="G65" s="989"/>
      <c r="H65" s="755">
        <f>H44+H64-K44-K45</f>
        <v>23.040000000139116</v>
      </c>
      <c r="I65" s="722"/>
      <c r="J65" s="765">
        <f>+H44+C62</f>
        <v>662637.1900000002</v>
      </c>
      <c r="L65" s="747"/>
    </row>
  </sheetData>
  <sheetProtection/>
  <mergeCells count="37">
    <mergeCell ref="O60:P60"/>
    <mergeCell ref="A65:G65"/>
    <mergeCell ref="A53:I54"/>
    <mergeCell ref="A55:A56"/>
    <mergeCell ref="C59:C61"/>
    <mergeCell ref="D59:D61"/>
    <mergeCell ref="E59:E61"/>
    <mergeCell ref="A64:G64"/>
    <mergeCell ref="A46:G46"/>
    <mergeCell ref="A48:G48"/>
    <mergeCell ref="A32:G32"/>
    <mergeCell ref="A33:G33"/>
    <mergeCell ref="A35:I35"/>
    <mergeCell ref="A36:A37"/>
    <mergeCell ref="A12:G12"/>
    <mergeCell ref="A14:G14"/>
    <mergeCell ref="A16:G16"/>
    <mergeCell ref="A21:I22"/>
    <mergeCell ref="L12:L13"/>
    <mergeCell ref="A44:G44"/>
    <mergeCell ref="L44:L45"/>
    <mergeCell ref="H36:I36"/>
    <mergeCell ref="A23:A24"/>
    <mergeCell ref="C27:C29"/>
    <mergeCell ref="D27:D29"/>
    <mergeCell ref="E27:E29"/>
    <mergeCell ref="B36:B37"/>
    <mergeCell ref="C36:C37"/>
    <mergeCell ref="D36:E36"/>
    <mergeCell ref="F36:G36"/>
    <mergeCell ref="A3:I3"/>
    <mergeCell ref="A4:A5"/>
    <mergeCell ref="B4:B5"/>
    <mergeCell ref="C4:C5"/>
    <mergeCell ref="D4:E4"/>
    <mergeCell ref="F4:G4"/>
    <mergeCell ref="H4:I4"/>
  </mergeCells>
  <printOptions/>
  <pageMargins left="0.75" right="0.75" top="0.37" bottom="0.4" header="0" footer="0"/>
  <pageSetup horizontalDpi="600" verticalDpi="600" orientation="landscape" paperSize="5" scale="81" r:id="rId2"/>
  <rowBreaks count="1" manualBreakCount="1">
    <brk id="3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BlueDeep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BlueDeep</dc:creator>
  <cp:keywords/>
  <dc:description/>
  <cp:lastModifiedBy>Usuario</cp:lastModifiedBy>
  <cp:lastPrinted>2013-06-05T14:41:27Z</cp:lastPrinted>
  <dcterms:created xsi:type="dcterms:W3CDTF">2012-10-18T15:48:59Z</dcterms:created>
  <dcterms:modified xsi:type="dcterms:W3CDTF">2013-06-19T14:16:04Z</dcterms:modified>
  <cp:category/>
  <cp:version/>
  <cp:contentType/>
  <cp:contentStatus/>
</cp:coreProperties>
</file>